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er\Desktop\Ценообразование\1. Прайс листы\2. ОПТ\"/>
    </mc:Choice>
  </mc:AlternateContent>
  <xr:revisionPtr revIDLastSave="0" documentId="13_ncr:1_{9633639A-B5D8-44ED-ADA9-14BB9C483827}" xr6:coauthVersionLast="47" xr6:coauthVersionMax="47" xr10:uidLastSave="{00000000-0000-0000-0000-000000000000}"/>
  <bookViews>
    <workbookView xWindow="-108" yWindow="-108" windowWidth="34776" windowHeight="18936" tabRatio="844" xr2:uid="{00000000-000D-0000-FFFF-FFFF00000000}"/>
  </bookViews>
  <sheets>
    <sheet name="Прайм" sheetId="8" r:id="rId1"/>
    <sheet name="Прайм (окутка)" sheetId="18" r:id="rId2"/>
    <sheet name="Прайм Широкий" sheetId="4" r:id="rId3"/>
    <sheet name="Прайм Широкий (окутка)" sheetId="19" state="hidden" r:id="rId4"/>
    <sheet name="Эста" sheetId="2" r:id="rId5"/>
    <sheet name="Эста Декор стекло" sheetId="15" state="hidden" r:id="rId6"/>
    <sheet name="Экспресс" sheetId="5" r:id="rId7"/>
    <sheet name="Экспресс 2" sheetId="17" r:id="rId8"/>
    <sheet name="Лист1" sheetId="11" state="hidden" r:id="rId9"/>
    <sheet name="Угловой Экспресс" sheetId="9" r:id="rId10"/>
    <sheet name="Ник" sheetId="6" r:id="rId11"/>
    <sheet name="Локер" sheetId="10" r:id="rId12"/>
    <sheet name="Локер Гардероб" sheetId="16" r:id="rId13"/>
    <sheet name="Элегант" sheetId="3" r:id="rId14"/>
    <sheet name="Локер1" sheetId="13" state="hidden" r:id="rId15"/>
  </sheets>
  <definedNames>
    <definedName name="ExternalData_24" localSheetId="0" hidden="1">Прайм!#REF!</definedName>
    <definedName name="ExternalData_24" localSheetId="1" hidden="1">'Прайм (окутка)'!#REF!</definedName>
    <definedName name="ExternalData_24" localSheetId="2" hidden="1">'Прайм Широкий'!#REF!</definedName>
    <definedName name="ExternalData_24" localSheetId="3" hidden="1">'Прайм Широкий (окутка)'!#REF!</definedName>
    <definedName name="ExternalData_24" localSheetId="9" hidden="1">'Угловой Экспресс'!#REF!</definedName>
    <definedName name="ExternalData_24" localSheetId="6" hidden="1">Экспресс!#REF!</definedName>
    <definedName name="ExternalData_24" localSheetId="7" hidden="1">'Экспресс 2'!#REF!</definedName>
    <definedName name="ExternalData_24" localSheetId="4" hidden="1">Эста!#REF!</definedName>
    <definedName name="ExternalData_25" localSheetId="0" hidden="1">Прайм!#REF!</definedName>
    <definedName name="ExternalData_25" localSheetId="1" hidden="1">'Прайм (окутка)'!#REF!</definedName>
    <definedName name="ExternalData_25" localSheetId="2" hidden="1">'Прайм Широкий'!#REF!</definedName>
    <definedName name="ExternalData_25" localSheetId="3" hidden="1">'Прайм Широкий (окутка)'!#REF!</definedName>
    <definedName name="ExternalData_25" localSheetId="9" hidden="1">'Угловой Экспресс'!#REF!</definedName>
    <definedName name="ExternalData_25" localSheetId="6" hidden="1">Экспресс!#REF!</definedName>
    <definedName name="ExternalData_25" localSheetId="7" hidden="1">'Экспресс 2'!#REF!</definedName>
    <definedName name="ExternalData_25" localSheetId="4" hidden="1">Эста!#REF!</definedName>
    <definedName name="ExternalData_26" localSheetId="0" hidden="1">Прайм!#REF!</definedName>
    <definedName name="ExternalData_26" localSheetId="1" hidden="1">'Прайм (окутка)'!#REF!</definedName>
    <definedName name="ExternalData_26" localSheetId="2" hidden="1">'Прайм Широкий'!#REF!</definedName>
    <definedName name="ExternalData_26" localSheetId="3" hidden="1">'Прайм Широкий (окутка)'!#REF!</definedName>
    <definedName name="ExternalData_26" localSheetId="9" hidden="1">'Угловой Экспресс'!#REF!</definedName>
    <definedName name="ExternalData_26" localSheetId="6" hidden="1">Экспресс!#REF!</definedName>
    <definedName name="ExternalData_26" localSheetId="7" hidden="1">'Экспресс 2'!#REF!</definedName>
    <definedName name="ExternalData_26" localSheetId="4" hidden="1">Эста!#REF!</definedName>
    <definedName name="ExternalData_27" localSheetId="0" hidden="1">Прайм!#REF!</definedName>
    <definedName name="ExternalData_27" localSheetId="1" hidden="1">'Прайм (окутка)'!#REF!</definedName>
    <definedName name="ExternalData_27" localSheetId="2" hidden="1">'Прайм Широкий'!#REF!</definedName>
    <definedName name="ExternalData_27" localSheetId="3" hidden="1">'Прайм Широкий (окутка)'!#REF!</definedName>
    <definedName name="ExternalData_27" localSheetId="9" hidden="1">'Угловой Экспресс'!#REF!</definedName>
    <definedName name="ExternalData_27" localSheetId="6" hidden="1">Экспресс!#REF!</definedName>
    <definedName name="ExternalData_27" localSheetId="7" hidden="1">'Экспресс 2'!#REF!</definedName>
    <definedName name="ExternalData_27" localSheetId="4" hidden="1">Эста!#REF!</definedName>
    <definedName name="_xlnm.Print_Area" localSheetId="11">Локер!$A$1:$I$24</definedName>
    <definedName name="_xlnm.Print_Area" localSheetId="12">'Локер Гардероб'!$A$1:$H$22</definedName>
    <definedName name="_xlnm.Print_Area" localSheetId="10">Ник!$A$1:$I$12</definedName>
    <definedName name="_xlnm.Print_Area" localSheetId="0">Прайм!$A$1:$H$59</definedName>
    <definedName name="_xlnm.Print_Area" localSheetId="1">'Прайм (окутка)'!$A$1:$G$38</definedName>
    <definedName name="_xlnm.Print_Area" localSheetId="2">'Прайм Широкий'!$A$1:$H$44</definedName>
    <definedName name="_xlnm.Print_Area" localSheetId="3">'Прайм Широкий (окутка)'!$A$1:$G$28</definedName>
    <definedName name="_xlnm.Print_Area" localSheetId="9">'Угловой Экспресс'!$A$1:$H$12</definedName>
    <definedName name="_xlnm.Print_Area" localSheetId="6">Экспресс!$A$1:$M$56</definedName>
    <definedName name="_xlnm.Print_Area" localSheetId="7">'Экспресс 2'!$A$1:$M$55</definedName>
    <definedName name="_xlnm.Print_Area" localSheetId="4">Эста!$A$1:$H$98</definedName>
  </definedNames>
  <calcPr calcId="191029"/>
  <pivotCaches>
    <pivotCache cacheId="121" r:id="rId16"/>
    <pivotCache cacheId="122" r:id="rId17"/>
    <pivotCache cacheId="123" r:id="rId18"/>
    <pivotCache cacheId="124" r:id="rId19"/>
    <pivotCache cacheId="125" r:id="rId20"/>
    <pivotCache cacheId="126" r:id="rId21"/>
    <pivotCache cacheId="127" r:id="rId22"/>
    <pivotCache cacheId="128" r:id="rId23"/>
    <pivotCache cacheId="129" r:id="rId24"/>
    <pivotCache cacheId="130" r:id="rId2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6" i="2" l="1"/>
  <c r="E95" i="2"/>
  <c r="G17" i="16"/>
  <c r="G10" i="16"/>
  <c r="G12" i="16"/>
  <c r="G9" i="16"/>
  <c r="G11" i="16"/>
  <c r="H9" i="16"/>
  <c r="H12" i="16"/>
  <c r="H15" i="16"/>
  <c r="G6" i="16"/>
  <c r="H8" i="16"/>
  <c r="H16" i="16"/>
  <c r="G16" i="16"/>
  <c r="G7" i="16"/>
  <c r="H5" i="16"/>
  <c r="I17" i="10"/>
  <c r="H17" i="10"/>
  <c r="H10" i="16"/>
  <c r="H7" i="16"/>
  <c r="G13" i="16"/>
  <c r="G5" i="16"/>
  <c r="H11" i="16"/>
  <c r="G15" i="16"/>
  <c r="G8" i="16"/>
  <c r="H13" i="16"/>
  <c r="H17" i="16"/>
  <c r="H6" i="16"/>
  <c r="F89" i="2"/>
  <c r="H43" i="17"/>
  <c r="I50" i="5"/>
  <c r="G90" i="2"/>
  <c r="F42" i="17"/>
  <c r="L42" i="17"/>
  <c r="H89" i="2"/>
  <c r="G89" i="2"/>
  <c r="H38" i="4"/>
  <c r="F21" i="19"/>
  <c r="F18" i="19"/>
  <c r="G42" i="17"/>
  <c r="K50" i="5"/>
  <c r="F50" i="5"/>
  <c r="J43" i="17"/>
  <c r="F38" i="4"/>
  <c r="G49" i="5"/>
  <c r="E89" i="2"/>
  <c r="I49" i="5"/>
  <c r="J50" i="5"/>
  <c r="G50" i="5"/>
  <c r="J49" i="5"/>
  <c r="M42" i="17"/>
  <c r="J42" i="17"/>
  <c r="F39" i="4"/>
  <c r="M43" i="17"/>
  <c r="L50" i="5"/>
  <c r="H50" i="5"/>
  <c r="E90" i="2"/>
  <c r="I43" i="17"/>
  <c r="F90" i="2"/>
  <c r="F43" i="17"/>
  <c r="M50" i="5"/>
  <c r="K43" i="17"/>
  <c r="L43" i="17"/>
  <c r="H39" i="4"/>
  <c r="F49" i="5"/>
  <c r="K42" i="17"/>
  <c r="M49" i="5"/>
  <c r="H90" i="2"/>
  <c r="K49" i="5"/>
  <c r="I42" i="17"/>
  <c r="L49" i="5"/>
  <c r="H49" i="5"/>
  <c r="H42" i="17"/>
  <c r="G43" i="17"/>
  <c r="F44" i="17"/>
  <c r="H75" i="2"/>
  <c r="I45" i="5"/>
  <c r="J46" i="5"/>
  <c r="L28" i="5"/>
  <c r="H23" i="2"/>
  <c r="F46" i="2"/>
  <c r="F84" i="2"/>
  <c r="H40" i="2"/>
  <c r="G35" i="2"/>
  <c r="F10" i="17"/>
  <c r="G40" i="17"/>
  <c r="M41" i="5"/>
  <c r="J14" i="17"/>
  <c r="H45" i="5"/>
  <c r="L28" i="17"/>
  <c r="H40" i="15"/>
  <c r="I30" i="15"/>
  <c r="L34" i="5"/>
  <c r="K24" i="5"/>
  <c r="I31" i="17"/>
  <c r="J23" i="5"/>
  <c r="J20" i="3"/>
  <c r="F36" i="15"/>
  <c r="G38" i="15"/>
  <c r="I31" i="5"/>
  <c r="H19" i="5"/>
  <c r="K44" i="5"/>
  <c r="F44" i="2"/>
  <c r="F48" i="2"/>
  <c r="G8" i="2"/>
  <c r="F8" i="17"/>
  <c r="H80" i="15"/>
  <c r="F21" i="2"/>
  <c r="I18" i="15"/>
  <c r="I14" i="10"/>
  <c r="F15" i="17"/>
  <c r="K39" i="17"/>
  <c r="F79" i="15"/>
  <c r="F40" i="4"/>
  <c r="F34" i="2"/>
  <c r="H24" i="5"/>
  <c r="H51" i="2"/>
  <c r="E51" i="2"/>
  <c r="H39" i="5"/>
  <c r="J30" i="5"/>
  <c r="I20" i="17"/>
  <c r="F54" i="15"/>
  <c r="I8" i="15"/>
  <c r="F7" i="3"/>
  <c r="H58" i="2"/>
  <c r="F31" i="17"/>
  <c r="E10" i="2"/>
  <c r="G53" i="2"/>
  <c r="H49" i="2"/>
  <c r="G30" i="2"/>
  <c r="F59" i="15"/>
  <c r="H12" i="2"/>
  <c r="H8" i="15"/>
  <c r="F40" i="5"/>
  <c r="H36" i="17"/>
  <c r="F10" i="2"/>
  <c r="F12" i="2"/>
  <c r="I58" i="15"/>
  <c r="J16" i="17"/>
  <c r="K22" i="17"/>
  <c r="G53" i="15"/>
  <c r="E58" i="2"/>
  <c r="H15" i="2"/>
  <c r="E82" i="2"/>
  <c r="G70" i="2"/>
  <c r="I15" i="15"/>
  <c r="H15" i="17"/>
  <c r="F22" i="17"/>
  <c r="J36" i="5"/>
  <c r="J25" i="17"/>
  <c r="H76" i="2"/>
  <c r="G14" i="17"/>
  <c r="K38" i="5"/>
  <c r="E80" i="2"/>
  <c r="K25" i="17"/>
  <c r="F38" i="15"/>
  <c r="K31" i="5"/>
  <c r="H78" i="15"/>
  <c r="F32" i="15"/>
  <c r="I33" i="17"/>
  <c r="J23" i="3"/>
  <c r="H25" i="5"/>
  <c r="F55" i="2"/>
  <c r="G24" i="17"/>
  <c r="H34" i="5"/>
  <c r="J33" i="5"/>
  <c r="L29" i="5"/>
  <c r="E27" i="2"/>
  <c r="I47" i="5"/>
  <c r="I75" i="15"/>
  <c r="H23" i="15"/>
  <c r="I61" i="15"/>
  <c r="H18" i="4"/>
  <c r="H35" i="17"/>
  <c r="I22" i="17"/>
  <c r="G22" i="5"/>
  <c r="G29" i="15"/>
  <c r="F29" i="3"/>
  <c r="I56" i="15"/>
  <c r="J34" i="5"/>
  <c r="I57" i="15"/>
  <c r="F12" i="17"/>
  <c r="E16" i="2"/>
  <c r="G26" i="2"/>
  <c r="H9" i="6"/>
  <c r="G15" i="15"/>
  <c r="H17" i="3"/>
  <c r="H60" i="2"/>
  <c r="I15" i="17"/>
  <c r="H33" i="15"/>
  <c r="H44" i="17"/>
  <c r="H71" i="15"/>
  <c r="M36" i="5"/>
  <c r="L32" i="17"/>
  <c r="E81" i="2"/>
  <c r="F14" i="17"/>
  <c r="F12" i="19"/>
  <c r="F58" i="2"/>
  <c r="H17" i="15"/>
  <c r="F48" i="15"/>
  <c r="F19" i="17"/>
  <c r="K47" i="5"/>
  <c r="F52" i="15"/>
  <c r="G14" i="15"/>
  <c r="M20" i="5"/>
  <c r="G63" i="15"/>
  <c r="L44" i="17"/>
  <c r="F14" i="3"/>
  <c r="K18" i="17"/>
  <c r="H44" i="2"/>
  <c r="I28" i="15"/>
  <c r="L32" i="5"/>
  <c r="I22" i="5"/>
  <c r="H26" i="15"/>
  <c r="H16" i="4"/>
  <c r="G36" i="17"/>
  <c r="H27" i="17"/>
  <c r="E43" i="2"/>
  <c r="F26" i="17"/>
  <c r="K48" i="5"/>
  <c r="G13" i="2"/>
  <c r="F36" i="2"/>
  <c r="H39" i="2"/>
  <c r="E79" i="2"/>
  <c r="I41" i="17"/>
  <c r="G71" i="15"/>
  <c r="M39" i="17"/>
  <c r="J12" i="17"/>
  <c r="G61" i="15"/>
  <c r="I51" i="15"/>
  <c r="H15" i="3"/>
  <c r="H65" i="2"/>
  <c r="F60" i="15"/>
  <c r="G24" i="5"/>
  <c r="G18" i="17"/>
  <c r="F17" i="17"/>
  <c r="H32" i="5"/>
  <c r="H28" i="15"/>
  <c r="E59" i="2"/>
  <c r="F70" i="2"/>
  <c r="M14" i="17"/>
  <c r="J40" i="5"/>
  <c r="I34" i="15"/>
  <c r="F80" i="15"/>
  <c r="H73" i="15"/>
  <c r="G34" i="5"/>
  <c r="J26" i="17"/>
  <c r="H29" i="15"/>
  <c r="F25" i="3"/>
  <c r="H63" i="15"/>
  <c r="K28" i="5"/>
  <c r="H54" i="15"/>
  <c r="I71" i="15"/>
  <c r="G38" i="5"/>
  <c r="E40" i="2"/>
  <c r="L36" i="17"/>
  <c r="F51" i="15"/>
  <c r="I34" i="17"/>
  <c r="H8" i="10"/>
  <c r="L40" i="17"/>
  <c r="K23" i="5"/>
  <c r="G48" i="2"/>
  <c r="J15" i="3"/>
  <c r="G88" i="2"/>
  <c r="L18" i="5"/>
  <c r="H52" i="2"/>
  <c r="K17" i="17"/>
  <c r="G56" i="15"/>
  <c r="G69" i="2"/>
  <c r="G32" i="2"/>
  <c r="G24" i="2"/>
  <c r="H26" i="17"/>
  <c r="H72" i="2"/>
  <c r="E47" i="2"/>
  <c r="H23" i="3"/>
  <c r="G77" i="15"/>
  <c r="I25" i="17"/>
  <c r="E26" i="2"/>
  <c r="G54" i="2"/>
  <c r="I40" i="15"/>
  <c r="G38" i="2"/>
  <c r="L30" i="5"/>
  <c r="H27" i="2"/>
  <c r="F24" i="5"/>
  <c r="H33" i="2"/>
  <c r="F25" i="15"/>
  <c r="H68" i="15"/>
  <c r="G59" i="2"/>
  <c r="L20" i="17"/>
  <c r="F45" i="15"/>
  <c r="G48" i="15"/>
  <c r="E86" i="2"/>
  <c r="E14" i="2"/>
  <c r="K12" i="17"/>
  <c r="G19" i="2"/>
  <c r="G31" i="15"/>
  <c r="H64" i="15"/>
  <c r="G12" i="2"/>
  <c r="L34" i="17"/>
  <c r="F27" i="3"/>
  <c r="H11" i="10"/>
  <c r="I25" i="5"/>
  <c r="G17" i="17"/>
  <c r="F30" i="17"/>
  <c r="I16" i="17"/>
  <c r="G71" i="2"/>
  <c r="H18" i="17"/>
  <c r="F28" i="4"/>
  <c r="J44" i="17"/>
  <c r="F35" i="3"/>
  <c r="G25" i="17"/>
  <c r="I20" i="15"/>
  <c r="F27" i="5"/>
  <c r="I39" i="17"/>
  <c r="E8" i="9"/>
  <c r="E74" i="2"/>
  <c r="I78" i="15"/>
  <c r="H75" i="15"/>
  <c r="H30" i="15"/>
  <c r="G19" i="5"/>
  <c r="H30" i="17"/>
  <c r="K41" i="5"/>
  <c r="J8" i="3"/>
  <c r="H55" i="15"/>
  <c r="F35" i="17"/>
  <c r="M21" i="17"/>
  <c r="G27" i="17"/>
  <c r="F80" i="2"/>
  <c r="I35" i="15"/>
  <c r="G42" i="2"/>
  <c r="L31" i="17"/>
  <c r="J41" i="5"/>
  <c r="H21" i="17"/>
  <c r="H10" i="6"/>
  <c r="E13" i="2"/>
  <c r="H37" i="15"/>
  <c r="F32" i="2"/>
  <c r="F40" i="2"/>
  <c r="F22" i="4"/>
  <c r="I28" i="5"/>
  <c r="F24" i="17"/>
  <c r="H34" i="2"/>
  <c r="G16" i="15"/>
  <c r="H42" i="2"/>
  <c r="E54" i="2"/>
  <c r="G11" i="15"/>
  <c r="L25" i="5"/>
  <c r="G29" i="2"/>
  <c r="G31" i="17"/>
  <c r="G22" i="15"/>
  <c r="M31" i="17"/>
  <c r="H8" i="3"/>
  <c r="H9" i="2"/>
  <c r="E41" i="2"/>
  <c r="H11" i="2"/>
  <c r="H29" i="2"/>
  <c r="I48" i="15"/>
  <c r="G50" i="15"/>
  <c r="G59" i="15"/>
  <c r="K18" i="5"/>
  <c r="H17" i="2"/>
  <c r="H35" i="15"/>
  <c r="J21" i="5"/>
  <c r="H57" i="2"/>
  <c r="H22" i="4"/>
  <c r="F25" i="2"/>
  <c r="M37" i="5"/>
  <c r="H9" i="3"/>
  <c r="I23" i="5"/>
  <c r="G49" i="2"/>
  <c r="F16" i="4"/>
  <c r="J35" i="5"/>
  <c r="H23" i="5"/>
  <c r="E65" i="2"/>
  <c r="H31" i="2"/>
  <c r="H8" i="4"/>
  <c r="K35" i="17"/>
  <c r="G27" i="5"/>
  <c r="J25" i="3"/>
  <c r="L23" i="5"/>
  <c r="M19" i="17"/>
  <c r="I32" i="15"/>
  <c r="I35" i="17"/>
  <c r="L24" i="5"/>
  <c r="H38" i="5"/>
  <c r="G75" i="2"/>
  <c r="F65" i="2"/>
  <c r="I16" i="15"/>
  <c r="J29" i="17"/>
  <c r="E87" i="2"/>
  <c r="L39" i="5"/>
  <c r="G56" i="2"/>
  <c r="G60" i="15"/>
  <c r="L51" i="5"/>
  <c r="H18" i="3"/>
  <c r="H15" i="15"/>
  <c r="F14" i="15"/>
  <c r="I54" i="15"/>
  <c r="I47" i="15"/>
  <c r="M30" i="17"/>
  <c r="I29" i="15"/>
  <c r="J27" i="5"/>
  <c r="F76" i="2"/>
  <c r="M31" i="5"/>
  <c r="L35" i="17"/>
  <c r="H73" i="2"/>
  <c r="F36" i="3"/>
  <c r="H24" i="15"/>
  <c r="G23" i="15"/>
  <c r="J20" i="5"/>
  <c r="G55" i="2"/>
  <c r="J15" i="17"/>
  <c r="F14" i="4"/>
  <c r="F46" i="15"/>
  <c r="F21" i="5"/>
  <c r="M25" i="5"/>
  <c r="F43" i="15"/>
  <c r="I15" i="10"/>
  <c r="H37" i="5"/>
  <c r="F28" i="2"/>
  <c r="F32" i="5"/>
  <c r="G21" i="5"/>
  <c r="G26" i="5"/>
  <c r="G20" i="15"/>
  <c r="F39" i="15"/>
  <c r="G40" i="2"/>
  <c r="G46" i="5"/>
  <c r="H44" i="15"/>
  <c r="I12" i="15"/>
  <c r="H44" i="5"/>
  <c r="G46" i="2"/>
  <c r="I38" i="17"/>
  <c r="I38" i="15"/>
  <c r="I10" i="6"/>
  <c r="G72" i="2"/>
  <c r="F26" i="2"/>
  <c r="K41" i="17"/>
  <c r="F15" i="3"/>
  <c r="H60" i="15"/>
  <c r="H59" i="15"/>
  <c r="F77" i="15"/>
  <c r="H8" i="2"/>
  <c r="F88" i="2"/>
  <c r="H40" i="5"/>
  <c r="G45" i="2"/>
  <c r="K42" i="5"/>
  <c r="H24" i="3"/>
  <c r="H11" i="15"/>
  <c r="F10" i="19"/>
  <c r="H79" i="15"/>
  <c r="H21" i="2"/>
  <c r="M26" i="5"/>
  <c r="E15" i="2"/>
  <c r="H30" i="5"/>
  <c r="F51" i="2"/>
  <c r="H34" i="17"/>
  <c r="F33" i="3"/>
  <c r="F76" i="15"/>
  <c r="F29" i="17"/>
  <c r="F33" i="2"/>
  <c r="H25" i="15"/>
  <c r="J20" i="17"/>
  <c r="I77" i="15"/>
  <c r="G28" i="5"/>
  <c r="H83" i="2"/>
  <c r="M29" i="5"/>
  <c r="F27" i="2"/>
  <c r="H62" i="15"/>
  <c r="G80" i="15"/>
  <c r="L39" i="17"/>
  <c r="E38" i="2"/>
  <c r="I19" i="17"/>
  <c r="G37" i="17"/>
  <c r="F20" i="3"/>
  <c r="H18" i="10"/>
  <c r="F67" i="15"/>
  <c r="L20" i="5"/>
  <c r="H28" i="4"/>
  <c r="G51" i="15"/>
  <c r="H42" i="15"/>
  <c r="G36" i="2"/>
  <c r="L47" i="5"/>
  <c r="F18" i="4"/>
  <c r="J13" i="5"/>
  <c r="F40" i="15"/>
  <c r="G33" i="15"/>
  <c r="H53" i="15"/>
  <c r="J51" i="5"/>
  <c r="F28" i="3"/>
  <c r="H34" i="4"/>
  <c r="G42" i="15"/>
  <c r="G79" i="15"/>
  <c r="G21" i="15"/>
  <c r="M27" i="17"/>
  <c r="H10" i="2"/>
  <c r="I35" i="5"/>
  <c r="I11" i="15"/>
  <c r="H39" i="17"/>
  <c r="J47" i="5"/>
  <c r="H61" i="2"/>
  <c r="G15" i="17"/>
  <c r="F13" i="3"/>
  <c r="H50" i="15"/>
  <c r="G12" i="17"/>
  <c r="H41" i="15"/>
  <c r="F25" i="5"/>
  <c r="H14" i="2"/>
  <c r="I9" i="15"/>
  <c r="M30" i="5"/>
  <c r="M36" i="17"/>
  <c r="M20" i="17"/>
  <c r="M21" i="5"/>
  <c r="G14" i="16"/>
  <c r="G49" i="15"/>
  <c r="I26" i="15"/>
  <c r="H18" i="15"/>
  <c r="F11" i="4"/>
  <c r="G94" i="2"/>
  <c r="E22" i="2"/>
  <c r="L46" i="5"/>
  <c r="L14" i="17"/>
  <c r="I64" i="15"/>
  <c r="J44" i="5"/>
  <c r="F37" i="15"/>
  <c r="H25" i="17"/>
  <c r="K37" i="5"/>
  <c r="G34" i="17"/>
  <c r="I72" i="15"/>
  <c r="F44" i="5"/>
  <c r="F62" i="15"/>
  <c r="F47" i="17"/>
  <c r="E45" i="2"/>
  <c r="H72" i="15"/>
  <c r="H76" i="15"/>
  <c r="G35" i="5"/>
  <c r="F38" i="17"/>
  <c r="I66" i="15"/>
  <c r="G43" i="15"/>
  <c r="J18" i="17"/>
  <c r="M27" i="5"/>
  <c r="H22" i="2"/>
  <c r="G36" i="5"/>
  <c r="E8" i="2"/>
  <c r="G31" i="5"/>
  <c r="F29" i="15"/>
  <c r="F37" i="3"/>
  <c r="J39" i="17"/>
  <c r="F69" i="2"/>
  <c r="J15" i="5"/>
  <c r="H67" i="2"/>
  <c r="F15" i="2"/>
  <c r="I36" i="15"/>
  <c r="I63" i="15"/>
  <c r="G40" i="5"/>
  <c r="M28" i="5"/>
  <c r="G19" i="17"/>
  <c r="H10" i="3"/>
  <c r="H22" i="15"/>
  <c r="E88" i="2"/>
  <c r="G84" i="2"/>
  <c r="J39" i="5"/>
  <c r="F85" i="2"/>
  <c r="L38" i="17"/>
  <c r="G54" i="15"/>
  <c r="H10" i="15"/>
  <c r="M35" i="5"/>
  <c r="E76" i="2"/>
  <c r="G9" i="15"/>
  <c r="H30" i="2"/>
  <c r="F10" i="15"/>
  <c r="G39" i="5"/>
  <c r="H17" i="17"/>
  <c r="E71" i="2"/>
  <c r="H41" i="5"/>
  <c r="J38" i="17"/>
  <c r="H19" i="15"/>
  <c r="I49" i="15"/>
  <c r="K27" i="5"/>
  <c r="G33" i="17"/>
  <c r="J22" i="17"/>
  <c r="H32" i="2"/>
  <c r="H79" i="2"/>
  <c r="M40" i="5"/>
  <c r="F54" i="2"/>
  <c r="G20" i="5"/>
  <c r="L31" i="5"/>
  <c r="H40" i="4"/>
  <c r="G35" i="17"/>
  <c r="F27" i="17"/>
  <c r="F8" i="9"/>
  <c r="F22" i="15"/>
  <c r="F14" i="5"/>
  <c r="F61" i="15"/>
  <c r="E25" i="2"/>
  <c r="E32" i="2"/>
  <c r="F42" i="5"/>
  <c r="F38" i="5"/>
  <c r="H51" i="5"/>
  <c r="H12" i="10"/>
  <c r="H13" i="15"/>
  <c r="I39" i="5"/>
  <c r="H62" i="2"/>
  <c r="M18" i="5"/>
  <c r="F10" i="3"/>
  <c r="H27" i="5"/>
  <c r="F23" i="17"/>
  <c r="H77" i="2"/>
  <c r="E17" i="2"/>
  <c r="F63" i="2"/>
  <c r="G41" i="15"/>
  <c r="J34" i="17"/>
  <c r="H7" i="6"/>
  <c r="F13" i="15"/>
  <c r="H36" i="15"/>
  <c r="I14" i="15"/>
  <c r="I46" i="5"/>
  <c r="I76" i="15"/>
  <c r="H33" i="5"/>
  <c r="K46" i="5"/>
  <c r="L19" i="5"/>
  <c r="F40" i="17"/>
  <c r="I11" i="10"/>
  <c r="H26" i="5"/>
  <c r="M26" i="17"/>
  <c r="G45" i="5"/>
  <c r="I55" i="15"/>
  <c r="J13" i="3"/>
  <c r="L45" i="5"/>
  <c r="M33" i="5"/>
  <c r="I12" i="17"/>
  <c r="J13" i="17"/>
  <c r="H56" i="15"/>
  <c r="E67" i="2"/>
  <c r="H82" i="15"/>
  <c r="G37" i="15"/>
  <c r="I39" i="15"/>
  <c r="F13" i="5"/>
  <c r="F34" i="5"/>
  <c r="H55" i="2"/>
  <c r="K33" i="17"/>
  <c r="L15" i="17"/>
  <c r="F24" i="19"/>
  <c r="G78" i="15"/>
  <c r="H36" i="5"/>
  <c r="I33" i="5"/>
  <c r="F53" i="15"/>
  <c r="G26" i="15"/>
  <c r="H77" i="15"/>
  <c r="H56" i="2"/>
  <c r="I43" i="15"/>
  <c r="F64" i="2"/>
  <c r="I7" i="6"/>
  <c r="E42" i="2"/>
  <c r="F19" i="2"/>
  <c r="E78" i="2"/>
  <c r="L29" i="17"/>
  <c r="M29" i="17"/>
  <c r="M22" i="5"/>
  <c r="H47" i="5"/>
  <c r="F82" i="15"/>
  <c r="G16" i="17"/>
  <c r="H14" i="15"/>
  <c r="L33" i="17"/>
  <c r="H8" i="6"/>
  <c r="L21" i="5"/>
  <c r="K26" i="5"/>
  <c r="E19" i="2"/>
  <c r="I22" i="15"/>
  <c r="F61" i="2"/>
  <c r="M23" i="5"/>
  <c r="M35" i="17"/>
  <c r="L13" i="17"/>
  <c r="F69" i="15"/>
  <c r="E12" i="2"/>
  <c r="F51" i="5"/>
  <c r="H14" i="10"/>
  <c r="H45" i="2"/>
  <c r="L26" i="5"/>
  <c r="L12" i="17"/>
  <c r="K24" i="17"/>
  <c r="J48" i="5"/>
  <c r="G10" i="2"/>
  <c r="I32" i="17"/>
  <c r="F37" i="17"/>
  <c r="F28" i="17"/>
  <c r="F58" i="15"/>
  <c r="H9" i="15"/>
  <c r="G21" i="10"/>
  <c r="J41" i="17"/>
  <c r="H65" i="15"/>
  <c r="G63" i="2"/>
  <c r="J37" i="17"/>
  <c r="F20" i="17"/>
  <c r="F78" i="2"/>
  <c r="I69" i="15"/>
  <c r="E70" i="2"/>
  <c r="I20" i="5"/>
  <c r="M24" i="5"/>
  <c r="H87" i="2"/>
  <c r="F30" i="4"/>
  <c r="H28" i="5"/>
  <c r="F34" i="3"/>
  <c r="F43" i="2"/>
  <c r="I34" i="5"/>
  <c r="L22" i="5"/>
  <c r="E64" i="2"/>
  <c r="M37" i="17"/>
  <c r="G66" i="15"/>
  <c r="K30" i="5"/>
  <c r="G68" i="2"/>
  <c r="K32" i="17"/>
  <c r="I26" i="17"/>
  <c r="H53" i="2"/>
  <c r="H25" i="2"/>
  <c r="H29" i="5"/>
  <c r="I74" i="15"/>
  <c r="F32" i="3"/>
  <c r="G36" i="15"/>
  <c r="G52" i="15"/>
  <c r="E18" i="2"/>
  <c r="H43" i="15"/>
  <c r="F50" i="15"/>
  <c r="G52" i="2"/>
  <c r="M38" i="17"/>
  <c r="F38" i="2"/>
  <c r="H24" i="4"/>
  <c r="I16" i="10"/>
  <c r="H24" i="17"/>
  <c r="E60" i="2"/>
  <c r="E39" i="2"/>
  <c r="L27" i="17"/>
  <c r="G91" i="2"/>
  <c r="H70" i="15"/>
  <c r="G77" i="2"/>
  <c r="I38" i="5"/>
  <c r="E53" i="2"/>
  <c r="G27" i="2"/>
  <c r="J32" i="17"/>
  <c r="I9" i="10"/>
  <c r="G32" i="5"/>
  <c r="J22" i="5"/>
  <c r="G18" i="5"/>
  <c r="H12" i="17"/>
  <c r="G32" i="17"/>
  <c r="F48" i="5"/>
  <c r="F82" i="2"/>
  <c r="I41" i="15"/>
  <c r="K36" i="5"/>
  <c r="G40" i="15"/>
  <c r="M24" i="17"/>
  <c r="J38" i="5"/>
  <c r="F16" i="17"/>
  <c r="G67" i="15"/>
  <c r="H69" i="2"/>
  <c r="I50" i="15"/>
  <c r="M33" i="17"/>
  <c r="G74" i="15"/>
  <c r="F37" i="5"/>
  <c r="G30" i="17"/>
  <c r="L23" i="17"/>
  <c r="M45" i="5"/>
  <c r="I13" i="17"/>
  <c r="I26" i="5"/>
  <c r="E34" i="2"/>
  <c r="G44" i="15"/>
  <c r="F35" i="5"/>
  <c r="H19" i="16"/>
  <c r="G65" i="2"/>
  <c r="L16" i="17"/>
  <c r="F73" i="2"/>
  <c r="H38" i="17"/>
  <c r="H70" i="2"/>
  <c r="F9" i="3"/>
  <c r="F18" i="17"/>
  <c r="G10" i="15"/>
  <c r="J26" i="5"/>
  <c r="J42" i="5"/>
  <c r="L25" i="17"/>
  <c r="F50" i="17"/>
  <c r="K29" i="17"/>
  <c r="F34" i="15"/>
  <c r="M16" i="17"/>
  <c r="F19" i="3"/>
  <c r="K30" i="17"/>
  <c r="I10" i="15"/>
  <c r="F68" i="15"/>
  <c r="L40" i="5"/>
  <c r="M12" i="17"/>
  <c r="H8" i="9"/>
  <c r="G43" i="2"/>
  <c r="F9" i="2"/>
  <c r="F12" i="15"/>
  <c r="H13" i="3"/>
  <c r="K19" i="5"/>
  <c r="I73" i="15"/>
  <c r="G13" i="17"/>
  <c r="L21" i="17"/>
  <c r="E9" i="2"/>
  <c r="L24" i="17"/>
  <c r="F29" i="2"/>
  <c r="H13" i="2"/>
  <c r="G76" i="15"/>
  <c r="M13" i="17"/>
  <c r="F15" i="15"/>
  <c r="G80" i="2"/>
  <c r="M39" i="5"/>
  <c r="H31" i="15"/>
  <c r="H46" i="2"/>
  <c r="I18" i="17"/>
  <c r="F12" i="3"/>
  <c r="F27" i="15"/>
  <c r="F11" i="15"/>
  <c r="K16" i="17"/>
  <c r="H41" i="17"/>
  <c r="E85" i="2"/>
  <c r="G47" i="2"/>
  <c r="K15" i="17"/>
  <c r="F57" i="15"/>
  <c r="H63" i="2"/>
  <c r="F78" i="15"/>
  <c r="I12" i="10"/>
  <c r="F74" i="15"/>
  <c r="F71" i="15"/>
  <c r="H26" i="2"/>
  <c r="K14" i="17"/>
  <c r="H19" i="3"/>
  <c r="G47" i="5"/>
  <c r="J16" i="5"/>
  <c r="J29" i="5"/>
  <c r="J45" i="5"/>
  <c r="M32" i="17"/>
  <c r="H9" i="10"/>
  <c r="H74" i="2"/>
  <c r="E36" i="2"/>
  <c r="F47" i="2"/>
  <c r="F19" i="15"/>
  <c r="F43" i="5"/>
  <c r="H7" i="3"/>
  <c r="K45" i="5"/>
  <c r="F16" i="5"/>
  <c r="F39" i="17"/>
  <c r="F8" i="4"/>
  <c r="G39" i="15"/>
  <c r="G19" i="16"/>
  <c r="G24" i="15"/>
  <c r="G29" i="17"/>
  <c r="L18" i="17"/>
  <c r="F8" i="15"/>
  <c r="H25" i="3"/>
  <c r="F22" i="2"/>
  <c r="I17" i="15"/>
  <c r="G70" i="15"/>
  <c r="G44" i="5"/>
  <c r="I45" i="15"/>
  <c r="G57" i="2"/>
  <c r="I10" i="10"/>
  <c r="H82" i="2"/>
  <c r="E72" i="2"/>
  <c r="G28" i="2"/>
  <c r="F86" i="2"/>
  <c r="E94" i="2"/>
  <c r="H33" i="17"/>
  <c r="G23" i="2"/>
  <c r="J30" i="17"/>
  <c r="K40" i="5"/>
  <c r="E66" i="2"/>
  <c r="H68" i="2"/>
  <c r="G22" i="2"/>
  <c r="I31" i="15"/>
  <c r="E29" i="2"/>
  <c r="H12" i="6"/>
  <c r="F33" i="17"/>
  <c r="H66" i="2"/>
  <c r="I70" i="15"/>
  <c r="F23" i="15"/>
  <c r="F46" i="5"/>
  <c r="I82" i="15"/>
  <c r="E20" i="2"/>
  <c r="H34" i="15"/>
  <c r="G86" i="2"/>
  <c r="G33" i="2"/>
  <c r="F81" i="15"/>
  <c r="H47" i="15"/>
  <c r="E50" i="2"/>
  <c r="G82" i="2"/>
  <c r="F16" i="2"/>
  <c r="F17" i="3"/>
  <c r="I36" i="17"/>
  <c r="K40" i="17"/>
  <c r="L22" i="17"/>
  <c r="H48" i="2"/>
  <c r="F35" i="2"/>
  <c r="F41" i="17"/>
  <c r="H71" i="2"/>
  <c r="J8" i="17"/>
  <c r="H22" i="17"/>
  <c r="F28" i="5"/>
  <c r="M34" i="17"/>
  <c r="M19" i="5"/>
  <c r="F47" i="5"/>
  <c r="L17" i="17"/>
  <c r="J35" i="17"/>
  <c r="H20" i="3"/>
  <c r="F33" i="5"/>
  <c r="H20" i="4"/>
  <c r="J18" i="5"/>
  <c r="F22" i="5"/>
  <c r="I21" i="17"/>
  <c r="I28" i="17"/>
  <c r="F24" i="4"/>
  <c r="I32" i="5"/>
  <c r="H43" i="2"/>
  <c r="G9" i="2"/>
  <c r="G22" i="17"/>
  <c r="G73" i="2"/>
  <c r="I79" i="15"/>
  <c r="E52" i="2"/>
  <c r="F72" i="2"/>
  <c r="J36" i="17"/>
  <c r="I23" i="17"/>
  <c r="F44" i="15"/>
  <c r="H18" i="16"/>
  <c r="M17" i="17"/>
  <c r="H16" i="15"/>
  <c r="G37" i="5"/>
  <c r="I19" i="15"/>
  <c r="F73" i="15"/>
  <c r="J19" i="3"/>
  <c r="H52" i="15"/>
  <c r="H31" i="5"/>
  <c r="I40" i="5"/>
  <c r="I8" i="10"/>
  <c r="F24" i="2"/>
  <c r="H69" i="15"/>
  <c r="F77" i="2"/>
  <c r="H81" i="15"/>
  <c r="H47" i="2"/>
  <c r="F49" i="2"/>
  <c r="K32" i="5"/>
  <c r="F18" i="3"/>
  <c r="H80" i="2"/>
  <c r="F66" i="2"/>
  <c r="I41" i="5"/>
  <c r="G61" i="2"/>
  <c r="H51" i="15"/>
  <c r="G39" i="2"/>
  <c r="F56" i="2"/>
  <c r="G20" i="2"/>
  <c r="I27" i="15"/>
  <c r="F42" i="2"/>
  <c r="F53" i="17"/>
  <c r="J31" i="5"/>
  <c r="G35" i="15"/>
  <c r="J10" i="17"/>
  <c r="M41" i="17"/>
  <c r="J9" i="3"/>
  <c r="G48" i="5"/>
  <c r="K34" i="5"/>
  <c r="F50" i="2"/>
  <c r="H66" i="15"/>
  <c r="F41" i="5"/>
  <c r="F23" i="5"/>
  <c r="K28" i="17"/>
  <c r="I24" i="15"/>
  <c r="G32" i="15"/>
  <c r="H24" i="2"/>
  <c r="I12" i="6"/>
  <c r="F42" i="15"/>
  <c r="J28" i="17"/>
  <c r="H28" i="17"/>
  <c r="H58" i="15"/>
  <c r="H15" i="10"/>
  <c r="H37" i="17"/>
  <c r="H31" i="17"/>
  <c r="K20" i="5"/>
  <c r="H21" i="15"/>
  <c r="I37" i="15"/>
  <c r="H14" i="17"/>
  <c r="G46" i="15"/>
  <c r="G55" i="15"/>
  <c r="K37" i="17"/>
  <c r="F25" i="17"/>
  <c r="F26" i="3"/>
  <c r="L30" i="17"/>
  <c r="H67" i="15"/>
  <c r="H32" i="15"/>
  <c r="G34" i="2"/>
  <c r="I43" i="5"/>
  <c r="G8" i="9"/>
  <c r="E49" i="2"/>
  <c r="F20" i="15"/>
  <c r="I81" i="15"/>
  <c r="I23" i="15"/>
  <c r="F30" i="3"/>
  <c r="I59" i="15"/>
  <c r="H39" i="15"/>
  <c r="G30" i="5"/>
  <c r="G79" i="2"/>
  <c r="H22" i="5"/>
  <c r="L27" i="5"/>
  <c r="F8" i="19"/>
  <c r="F30" i="15"/>
  <c r="E69" i="2"/>
  <c r="G72" i="15"/>
  <c r="F26" i="5"/>
  <c r="H42" i="5"/>
  <c r="K13" i="17"/>
  <c r="F48" i="17"/>
  <c r="G39" i="17"/>
  <c r="K26" i="17"/>
  <c r="K34" i="17"/>
  <c r="F68" i="2"/>
  <c r="J28" i="5"/>
  <c r="E73" i="2"/>
  <c r="H20" i="17"/>
  <c r="M22" i="17"/>
  <c r="G18" i="16"/>
  <c r="F65" i="15"/>
  <c r="L41" i="5"/>
  <c r="H46" i="15"/>
  <c r="G23" i="17"/>
  <c r="F37" i="2"/>
  <c r="F31" i="3"/>
  <c r="M15" i="17"/>
  <c r="F49" i="15"/>
  <c r="F83" i="2"/>
  <c r="K36" i="17"/>
  <c r="F21" i="15"/>
  <c r="H16" i="17"/>
  <c r="E56" i="2"/>
  <c r="E30" i="2"/>
  <c r="F20" i="4"/>
  <c r="I44" i="15"/>
  <c r="G50" i="2"/>
  <c r="L44" i="5"/>
  <c r="H22" i="3"/>
  <c r="H14" i="4"/>
  <c r="F11" i="2"/>
  <c r="M18" i="17"/>
  <c r="G41" i="17"/>
  <c r="I42" i="5"/>
  <c r="M40" i="17"/>
  <c r="G41" i="2"/>
  <c r="I68" i="15"/>
  <c r="G29" i="5"/>
  <c r="F49" i="17"/>
  <c r="G65" i="15"/>
  <c r="F26" i="15"/>
  <c r="M47" i="5"/>
  <c r="G30" i="15"/>
  <c r="E21" i="2"/>
  <c r="J18" i="3"/>
  <c r="H12" i="3"/>
  <c r="G82" i="15"/>
  <c r="L41" i="17"/>
  <c r="I24" i="5"/>
  <c r="I19" i="5"/>
  <c r="G25" i="5"/>
  <c r="G28" i="17"/>
  <c r="H54" i="2"/>
  <c r="J37" i="5"/>
  <c r="G68" i="15"/>
  <c r="H85" i="2"/>
  <c r="I13" i="10"/>
  <c r="F71" i="2"/>
  <c r="J40" i="17"/>
  <c r="K25" i="5"/>
  <c r="E33" i="2"/>
  <c r="F72" i="15"/>
  <c r="G38" i="17"/>
  <c r="G47" i="15"/>
  <c r="I65" i="15"/>
  <c r="G60" i="2"/>
  <c r="F21" i="17"/>
  <c r="K35" i="5"/>
  <c r="L33" i="5"/>
  <c r="G12" i="15"/>
  <c r="G44" i="2"/>
  <c r="F8" i="3"/>
  <c r="F32" i="17"/>
  <c r="I30" i="17"/>
  <c r="J19" i="5"/>
  <c r="H12" i="15"/>
  <c r="M28" i="17"/>
  <c r="G33" i="5"/>
  <c r="F79" i="2"/>
  <c r="H20" i="5"/>
  <c r="J25" i="5"/>
  <c r="H37" i="2"/>
  <c r="J14" i="3"/>
  <c r="H84" i="2"/>
  <c r="H18" i="2"/>
  <c r="G58" i="15"/>
  <c r="F13" i="2"/>
  <c r="H13" i="17"/>
  <c r="F74" i="2"/>
  <c r="I14" i="17"/>
  <c r="G17" i="2"/>
  <c r="F17" i="2"/>
  <c r="I19" i="10"/>
  <c r="K29" i="5"/>
  <c r="I13" i="15"/>
  <c r="G21" i="2"/>
  <c r="F28" i="15"/>
  <c r="E44" i="2"/>
  <c r="G20" i="17"/>
  <c r="E31" i="2"/>
  <c r="G18" i="15"/>
  <c r="H88" i="2"/>
  <c r="H28" i="2"/>
  <c r="F41" i="2"/>
  <c r="G74" i="2"/>
  <c r="I33" i="15"/>
  <c r="G75" i="15"/>
  <c r="L35" i="5"/>
  <c r="J10" i="3"/>
  <c r="G83" i="2"/>
  <c r="K23" i="17"/>
  <c r="J31" i="17"/>
  <c r="H78" i="2"/>
  <c r="J21" i="17"/>
  <c r="E62" i="2"/>
  <c r="F18" i="2"/>
  <c r="F16" i="19"/>
  <c r="H13" i="10"/>
  <c r="J32" i="5"/>
  <c r="L42" i="5"/>
  <c r="E77" i="2"/>
  <c r="H38" i="15"/>
  <c r="F52" i="2"/>
  <c r="H14" i="3"/>
  <c r="F22" i="3"/>
  <c r="F13" i="17"/>
  <c r="H41" i="2"/>
  <c r="M38" i="5"/>
  <c r="G16" i="2"/>
  <c r="F18" i="5"/>
  <c r="G13" i="15"/>
  <c r="F66" i="15"/>
  <c r="L38" i="5"/>
  <c r="H36" i="2"/>
  <c r="F70" i="15"/>
  <c r="H86" i="2"/>
  <c r="F30" i="2"/>
  <c r="H49" i="15"/>
  <c r="E61" i="2"/>
  <c r="E91" i="2"/>
  <c r="J23" i="17"/>
  <c r="E55" i="2"/>
  <c r="G64" i="15"/>
  <c r="G43" i="5"/>
  <c r="F56" i="15"/>
  <c r="G58" i="2"/>
  <c r="I25" i="15"/>
  <c r="F14" i="2"/>
  <c r="I9" i="6"/>
  <c r="E11" i="2"/>
  <c r="F17" i="15"/>
  <c r="G14" i="2"/>
  <c r="E84" i="2"/>
  <c r="F15" i="5"/>
  <c r="H45" i="15"/>
  <c r="G17" i="15"/>
  <c r="F75" i="2"/>
  <c r="H20" i="2"/>
  <c r="H57" i="15"/>
  <c r="F34" i="17"/>
  <c r="J24" i="3"/>
  <c r="I8" i="6"/>
  <c r="F59" i="2"/>
  <c r="E75" i="2"/>
  <c r="E23" i="2"/>
  <c r="H50" i="2"/>
  <c r="F57" i="2"/>
  <c r="F39" i="5"/>
  <c r="J19" i="17"/>
  <c r="K27" i="17"/>
  <c r="H48" i="15"/>
  <c r="H20" i="15"/>
  <c r="F60" i="2"/>
  <c r="F29" i="5"/>
  <c r="F34" i="4"/>
  <c r="K43" i="5"/>
  <c r="H26" i="4"/>
  <c r="F45" i="2"/>
  <c r="H46" i="5"/>
  <c r="G27" i="15"/>
  <c r="G69" i="15"/>
  <c r="F41" i="15"/>
  <c r="H74" i="15"/>
  <c r="G76" i="2"/>
  <c r="F24" i="15"/>
  <c r="I44" i="5"/>
  <c r="E57" i="2"/>
  <c r="E83" i="2"/>
  <c r="F19" i="5"/>
  <c r="G42" i="5"/>
  <c r="I40" i="17"/>
  <c r="J24" i="5"/>
  <c r="H19" i="10"/>
  <c r="G18" i="2"/>
  <c r="H35" i="2"/>
  <c r="G87" i="2"/>
  <c r="H32" i="4"/>
  <c r="F9" i="15"/>
  <c r="K22" i="5"/>
  <c r="F31" i="5"/>
  <c r="G25" i="2"/>
  <c r="G66" i="2"/>
  <c r="H30" i="4"/>
  <c r="G34" i="15"/>
  <c r="K39" i="5"/>
  <c r="H27" i="15"/>
  <c r="F45" i="5"/>
  <c r="G41" i="5"/>
  <c r="F8" i="2"/>
  <c r="H40" i="17"/>
  <c r="H11" i="6"/>
  <c r="F26" i="4"/>
  <c r="I37" i="5"/>
  <c r="I17" i="17"/>
  <c r="I80" i="15"/>
  <c r="F52" i="17"/>
  <c r="I37" i="17"/>
  <c r="I27" i="17"/>
  <c r="M34" i="5"/>
  <c r="K21" i="17"/>
  <c r="F33" i="15"/>
  <c r="G31" i="2"/>
  <c r="H29" i="17"/>
  <c r="H11" i="4"/>
  <c r="L43" i="5"/>
  <c r="F51" i="17"/>
  <c r="F23" i="3"/>
  <c r="F18" i="15"/>
  <c r="J33" i="17"/>
  <c r="G8" i="15"/>
  <c r="J9" i="17"/>
  <c r="K21" i="5"/>
  <c r="M46" i="5"/>
  <c r="E46" i="2"/>
  <c r="H23" i="17"/>
  <c r="F62" i="2"/>
  <c r="F87" i="2"/>
  <c r="G28" i="15"/>
  <c r="G19" i="15"/>
  <c r="H19" i="2"/>
  <c r="M32" i="5"/>
  <c r="F8" i="5"/>
  <c r="H61" i="15"/>
  <c r="F30" i="5"/>
  <c r="M44" i="5"/>
  <c r="I36" i="5"/>
  <c r="G51" i="2"/>
  <c r="G25" i="15"/>
  <c r="L36" i="5"/>
  <c r="F32" i="4"/>
  <c r="H18" i="5"/>
  <c r="F54" i="5"/>
  <c r="G26" i="17"/>
  <c r="H59" i="2"/>
  <c r="F75" i="15"/>
  <c r="I18" i="5"/>
  <c r="H43" i="5"/>
  <c r="M25" i="17"/>
  <c r="I52" i="15"/>
  <c r="E35" i="2"/>
  <c r="G11" i="2"/>
  <c r="H14" i="16"/>
  <c r="F20" i="5"/>
  <c r="M43" i="5"/>
  <c r="I42" i="15"/>
  <c r="H21" i="5"/>
  <c r="I18" i="10"/>
  <c r="I62" i="15"/>
  <c r="H64" i="2"/>
  <c r="G81" i="2"/>
  <c r="I53" i="15"/>
  <c r="G37" i="2"/>
  <c r="F53" i="2"/>
  <c r="E37" i="2"/>
  <c r="L37" i="5"/>
  <c r="F16" i="15"/>
  <c r="H19" i="17"/>
  <c r="F36" i="17"/>
  <c r="F9" i="17"/>
  <c r="I27" i="5"/>
  <c r="E63" i="2"/>
  <c r="F55" i="15"/>
  <c r="G81" i="15"/>
  <c r="H16" i="10"/>
  <c r="F81" i="2"/>
  <c r="H32" i="17"/>
  <c r="F64" i="15"/>
  <c r="G57" i="15"/>
  <c r="F9" i="5"/>
  <c r="I21" i="5"/>
  <c r="K19" i="17"/>
  <c r="G15" i="2"/>
  <c r="G45" i="15"/>
  <c r="M42" i="5"/>
  <c r="K31" i="17"/>
  <c r="G21" i="17"/>
  <c r="J17" i="17"/>
  <c r="F31" i="15"/>
  <c r="K38" i="17"/>
  <c r="L26" i="17"/>
  <c r="I11" i="6"/>
  <c r="E28" i="2"/>
  <c r="F47" i="15"/>
  <c r="G23" i="5"/>
  <c r="F36" i="5"/>
  <c r="I30" i="5"/>
  <c r="J43" i="5"/>
  <c r="H38" i="2"/>
  <c r="J14" i="5"/>
  <c r="I29" i="17"/>
  <c r="G62" i="2"/>
  <c r="K20" i="17"/>
  <c r="E24" i="2"/>
  <c r="I60" i="15"/>
  <c r="L37" i="17"/>
  <c r="F24" i="3"/>
  <c r="F14" i="19"/>
  <c r="G64" i="2"/>
  <c r="F67" i="2"/>
  <c r="I24" i="17"/>
  <c r="E68" i="2"/>
  <c r="F35" i="15"/>
  <c r="I21" i="15"/>
  <c r="J27" i="17"/>
  <c r="G78" i="2"/>
  <c r="H10" i="10"/>
  <c r="I29" i="5"/>
  <c r="F39" i="2"/>
  <c r="H81" i="2"/>
  <c r="F63" i="15"/>
  <c r="J24" i="17"/>
  <c r="H35" i="5"/>
  <c r="F31" i="2"/>
  <c r="G85" i="2"/>
  <c r="G73" i="15"/>
  <c r="I67" i="15"/>
  <c r="L19" i="17"/>
  <c r="F20" i="2"/>
  <c r="E48" i="2"/>
  <c r="K33" i="5"/>
  <c r="I46" i="15"/>
  <c r="M23" i="17"/>
  <c r="H16" i="2"/>
  <c r="G62" i="15"/>
  <c r="G67" i="2"/>
  <c r="F23" i="2"/>
  <c r="F25" i="18"/>
  <c r="F24" i="18"/>
  <c r="F21" i="18"/>
  <c r="F11" i="18"/>
  <c r="F23" i="18"/>
  <c r="F13" i="18"/>
  <c r="F15" i="18"/>
  <c r="F19" i="18"/>
  <c r="F17" i="18"/>
  <c r="F31" i="18"/>
  <c r="F10" i="18"/>
  <c r="F34" i="18"/>
  <c r="F20" i="18"/>
  <c r="F14" i="18"/>
  <c r="F12" i="18"/>
  <c r="F16" i="18"/>
  <c r="F18" i="18"/>
  <c r="F26" i="18"/>
  <c r="F28" i="18"/>
  <c r="F22" i="18"/>
  <c r="F27" i="18"/>
  <c r="F9" i="18"/>
  <c r="F16" i="8"/>
  <c r="F13" i="8"/>
  <c r="F49" i="8"/>
  <c r="F36" i="8"/>
  <c r="F34" i="8"/>
  <c r="H26" i="8"/>
  <c r="F45" i="8"/>
  <c r="H23" i="8"/>
  <c r="H42" i="8"/>
  <c r="H46" i="8"/>
  <c r="F48" i="8"/>
  <c r="F39" i="8"/>
  <c r="F43" i="8"/>
  <c r="H16" i="8"/>
  <c r="F10" i="8"/>
  <c r="H45" i="8"/>
  <c r="H44" i="8"/>
  <c r="F35" i="8"/>
  <c r="H27" i="8"/>
  <c r="F33" i="8"/>
  <c r="H37" i="8"/>
  <c r="F21" i="8"/>
  <c r="H15" i="8"/>
  <c r="H19" i="8"/>
  <c r="F19" i="8"/>
  <c r="H43" i="8"/>
  <c r="F54" i="8"/>
  <c r="F37" i="8"/>
  <c r="F26" i="8"/>
  <c r="F14" i="8"/>
  <c r="F41" i="8"/>
  <c r="H39" i="8"/>
  <c r="F40" i="8"/>
  <c r="F50" i="8"/>
  <c r="F15" i="8"/>
  <c r="H47" i="8"/>
  <c r="H53" i="8"/>
  <c r="H25" i="8"/>
  <c r="H13" i="8"/>
  <c r="H20" i="8"/>
  <c r="F17" i="8"/>
  <c r="F47" i="8"/>
  <c r="F38" i="8"/>
  <c r="H35" i="8"/>
  <c r="F44" i="8"/>
  <c r="F20" i="8"/>
  <c r="F46" i="8"/>
  <c r="H22" i="8"/>
  <c r="F25" i="8"/>
  <c r="F9" i="8"/>
  <c r="H34" i="8"/>
  <c r="F23" i="8"/>
  <c r="H14" i="8"/>
  <c r="H40" i="8"/>
  <c r="H50" i="8"/>
  <c r="H18" i="8"/>
  <c r="F29" i="8"/>
  <c r="H55" i="8"/>
  <c r="F12" i="8"/>
  <c r="H54" i="8"/>
  <c r="H17" i="8"/>
  <c r="H38" i="8"/>
  <c r="F18" i="8"/>
  <c r="H24" i="8"/>
  <c r="H36" i="8"/>
  <c r="F22" i="8"/>
  <c r="H12" i="8"/>
  <c r="H21" i="8"/>
  <c r="F27" i="8"/>
  <c r="H41" i="8"/>
  <c r="H48" i="8"/>
  <c r="F28" i="8"/>
  <c r="H33" i="8"/>
  <c r="F53" i="8"/>
  <c r="F24" i="8"/>
  <c r="H10" i="8"/>
  <c r="F42" i="8"/>
  <c r="H9" i="8"/>
  <c r="H29" i="8"/>
  <c r="F55" i="8"/>
  <c r="H28" i="8"/>
  <c r="H49" i="8"/>
  <c r="H9" i="18" l="1"/>
  <c r="H27" i="18"/>
  <c r="H22" i="18"/>
  <c r="H26" i="18"/>
  <c r="H18" i="18"/>
  <c r="H16" i="18"/>
  <c r="H12" i="18"/>
  <c r="H14" i="18"/>
  <c r="H20" i="18"/>
  <c r="H10" i="18"/>
  <c r="H17" i="18"/>
  <c r="H19" i="18"/>
  <c r="H15" i="18"/>
  <c r="H13" i="18"/>
  <c r="H23" i="18"/>
  <c r="H11" i="18"/>
  <c r="H21" i="18"/>
  <c r="H24" i="18"/>
  <c r="H25" i="1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CCE2ABD-537E-4C3A-B506-9428D17E93A5}" keepAlive="1" name="Запрос — Локер гардероб" description="Соединение с запросом &quot;Локер гардероб&quot; в книге." type="5" refreshedVersion="7" background="1">
    <dbPr connection="Provider=Microsoft.Mashup.OleDb.1;Data Source=$Workbook$;Location=&quot;Локер гардероб&quot;;Extended Properties=&quot;&quot;" command="SELECT * FROM [Локер гардероб]"/>
  </connection>
  <connection id="2" xr16:uid="{409E7371-20A3-4BD8-8AB7-CA661ACBB5E9}" keepAlive="1" name="Запрос — новые УТ" description="Соединение с запросом &quot;новые УТ&quot; в книге." type="5" refreshedVersion="7" background="1">
    <dbPr connection="Provider=Microsoft.Mashup.OleDb.1;Data Source=$Workbook$;Location=&quot;новые УТ&quot;;Extended Properties=&quot;&quot;" command="SELECT * FROM [новые УТ]"/>
  </connection>
  <connection id="3" xr16:uid="{65184E83-6228-4A11-8A72-2D5858DE4102}" keepAlive="1" name="Запрос — Прочие дополнения" description="Соединение с запросом &quot;Прочие дополнения&quot; в книге." type="5" refreshedVersion="0">
    <dbPr connection="Provider=Microsoft.Mashup.OleDb.1;Data Source=$Workbook$;Location=&quot;Прочие дополнения&quot;;Extended Properties=&quot;&quot;" command="SELECT * FROM [Прочие дополнения]"/>
  </connection>
  <connection id="4" xr16:uid="{899F78C3-21F0-4515-9119-366471E53732}" keepAlive="1" name="Запрос — Прочие дополнения (2)" description="Соединение с запросом &quot;Прочие дополнения (2)&quot; в книге." type="5" refreshedVersion="7">
    <dbPr connection="Provider=Microsoft.Mashup.OleDb.1;Data Source=$Workbook$;Location=&quot;Прочие дополнения (2)&quot;;Extended Properties=&quot;&quot;" command="SELECT * FROM [Прочие дополнения (2)]"/>
  </connection>
  <connection id="5" xr16:uid="{899F78C3-21F0-4515-9119-366471E53732}" keepAlive="1" name="Запрос — Прочие дополнения (3)" description="Соединение с запросом &quot;Прочие дополнения (3)&quot; в книге." type="5" refreshedVersion="7">
    <dbPr connection="Provider=Microsoft.Mashup.OleDb.1;Data Source=$Workbook$;Location=&quot;Прочие дополнения (3)&quot;;Extended Properties=&quot;&quot;" command="SELECT * FROM [Прочие дополнения (3)]"/>
  </connection>
  <connection id="6" xr16:uid="{899F78C3-21F0-4515-9119-366471E53732}" keepAlive="1" name="Запрос — Прочие дополнения (4)" description="Соединение с запросом &quot;Прочие дополнения (4)&quot; в книге." type="5" refreshedVersion="7">
    <dbPr connection="Provider=Microsoft.Mashup.OleDb.1;Data Source=$Workbook$;Location=&quot;Прочие дополнения (4)&quot;;Extended Properties=&quot;&quot;" command="SELECT * FROM [Прочие дополнения (4)]"/>
  </connection>
  <connection id="7" xr16:uid="{368718E9-6ADF-4DCD-803A-61B3965B7F56}" keepAlive="1" name="Запрос — Прочие дополнения (5)" description="Соединение с запросом &quot;Прочие дополнения (5)&quot; в книге." type="5" refreshedVersion="7" background="1">
    <dbPr connection="Provider=Microsoft.Mashup.OleDb.1;Data Source=$Workbook$;Location=&quot;Прочие дополнения (5)&quot;;Extended Properties=&quot;&quot;" command="SELECT * FROM [Прочие дополнения (5)]"/>
  </connection>
  <connection id="8" xr16:uid="{C6BF0536-BED6-4B34-9AC5-3C65EEE7BA61}" keepAlive="1" name="Запрос — Результат_Сформированные_цены" description="Соединение с запросом &quot;Результат_Сформированные_цены&quot; в книге." type="5" refreshedVersion="7">
    <dbPr connection="Provider=Microsoft.Mashup.OleDb.1;Data Source=$Workbook$;Location=Результат_Сформированные_цены;Extended Properties=&quot;&quot;" command="SELECT * FROM [Результат_Сформированные_цены]"/>
  </connection>
  <connection id="9" xr16:uid="{5F540B1A-85F2-42BA-858B-FBC03A052660}" keepAlive="1" name="Запрос — Шкафы" description="Соединение с запросом &quot;Шкафы&quot; в книге." type="5" refreshedVersion="7">
    <dbPr connection="Provider=Microsoft.Mashup.OleDb.1;Data Source=$Workbook$;Location=Шкафы;Extended Properties=&quot;&quot;" command="SELECT * FROM [Шкафы]"/>
  </connection>
  <connection id="10" xr16:uid="{5F540B1A-85F2-42BA-858B-FBC03A052660}" keepAlive="1" name="Запрос — Шкафы (2)" description="Соединение с запросом &quot;Шкафы (2)&quot; в книге." type="5" refreshedVersion="7">
    <dbPr connection="Provider=Microsoft.Mashup.OleDb.1;Data Source=$Workbook$;Location=&quot;Шкафы (2)&quot;;Extended Properties=&quot;&quot;" command="SELECT * FROM [Шкафы (2)]"/>
  </connection>
  <connection id="11" xr16:uid="{5F540B1A-85F2-42BA-858B-FBC03A052660}" keepAlive="1" name="Запрос — Шкафы (3)" description="Соединение с запросом &quot;Шкафы (3)&quot; в книге." type="5" refreshedVersion="7">
    <dbPr connection="Provider=Microsoft.Mashup.OleDb.1;Data Source=$Workbook$;Location=&quot;Шкафы (3)&quot;;Extended Properties=&quot;&quot;" command="SELECT * FROM [Шкафы (3)]"/>
  </connection>
</connections>
</file>

<file path=xl/sharedStrings.xml><?xml version="1.0" encoding="utf-8"?>
<sst xmlns="http://schemas.openxmlformats.org/spreadsheetml/2006/main" count="2205" uniqueCount="1095">
  <si>
    <t xml:space="preserve"> </t>
  </si>
  <si>
    <t>Трехдверный</t>
  </si>
  <si>
    <t>Двухдверный</t>
  </si>
  <si>
    <t>Внутреннее наполнение</t>
  </si>
  <si>
    <t>Кратно
600/700/800</t>
  </si>
  <si>
    <t>Комплект из 
3-х полок</t>
  </si>
  <si>
    <t>Модуль с выдвижными ящиками</t>
  </si>
  <si>
    <t>Дополнения</t>
  </si>
  <si>
    <t>3 Зерк.</t>
  </si>
  <si>
    <t>Комби ДСП/Зекр.</t>
  </si>
  <si>
    <t>2 Зерк./ДСП</t>
  </si>
  <si>
    <t>2 ДСП/Зекр.</t>
  </si>
  <si>
    <t>3 ДСП</t>
  </si>
  <si>
    <t>2 Зерк.</t>
  </si>
  <si>
    <t>ДСП/Зерк.</t>
  </si>
  <si>
    <t>2 ДСП</t>
  </si>
  <si>
    <t>Крафт табачный, Бетон, Серый Диамант</t>
  </si>
  <si>
    <t>Белый снег, Сонома, Венге</t>
  </si>
  <si>
    <t>660 глубина</t>
  </si>
  <si>
    <t>Высота 2400</t>
  </si>
  <si>
    <t>Высота 2200</t>
  </si>
  <si>
    <t>Ширина 
по фасаду</t>
  </si>
  <si>
    <t>Фасад</t>
  </si>
  <si>
    <t>Изображение</t>
  </si>
  <si>
    <t>Тип шкафа</t>
  </si>
  <si>
    <t>Актуален на</t>
  </si>
  <si>
    <t>серии "Эста"</t>
  </si>
  <si>
    <t>2700 мм</t>
  </si>
  <si>
    <t>2050 мм</t>
  </si>
  <si>
    <t>1760 мм</t>
  </si>
  <si>
    <t>1580 мм</t>
  </si>
  <si>
    <t>1380 мм</t>
  </si>
  <si>
    <t>1180 мм</t>
  </si>
  <si>
    <t>Комлпект направляющих</t>
  </si>
  <si>
    <t>Профиль Серебро</t>
  </si>
  <si>
    <t>883 Кратно 900</t>
  </si>
  <si>
    <t>783 Кратно 800</t>
  </si>
  <si>
    <t>683 Кратно 700</t>
  </si>
  <si>
    <t>583 Кратно 600</t>
  </si>
  <si>
    <t>Зеркало, цветной профиль</t>
  </si>
  <si>
    <t>Дверь купе</t>
  </si>
  <si>
    <t>Двери зеркало, в цветном профиле (Белый, Бронза)</t>
  </si>
  <si>
    <t>Зеркало, профиль Серебро</t>
  </si>
  <si>
    <t>Двери зеркало</t>
  </si>
  <si>
    <t>ДСП, цветной профиль</t>
  </si>
  <si>
    <t>ДСП, профиль Серебро</t>
  </si>
  <si>
    <t>Ширина по фасаду</t>
  </si>
  <si>
    <t>Тип двери</t>
  </si>
  <si>
    <t>Высота 2552</t>
  </si>
  <si>
    <t>Высота 2452</t>
  </si>
  <si>
    <t>Высота 2252</t>
  </si>
  <si>
    <t>"Элегант"</t>
  </si>
  <si>
    <t>серии</t>
  </si>
  <si>
    <t>2200/2400</t>
  </si>
  <si>
    <t>3 Зекр.</t>
  </si>
  <si>
    <t>2 Зекр./ДСП</t>
  </si>
  <si>
    <t>ДСП/ Стекло (Черн.)</t>
  </si>
  <si>
    <t>ДСП/ Стекло 
(Бел.)</t>
  </si>
  <si>
    <t>Крафт табачный, Бетон, Серый Диамант, Ясень Анкор Светлый</t>
  </si>
  <si>
    <t>Белый Снег</t>
  </si>
  <si>
    <t>570 глубина</t>
  </si>
  <si>
    <t>Высота 2300</t>
  </si>
  <si>
    <t>"Прайм Широкий"</t>
  </si>
  <si>
    <t>Хит</t>
  </si>
  <si>
    <t>Мини</t>
  </si>
  <si>
    <t>Кратно
600/700/
800</t>
  </si>
  <si>
    <t>Угловой терминал</t>
  </si>
  <si>
    <t>Фотопечать</t>
  </si>
  <si>
    <t>3 Зеркала</t>
  </si>
  <si>
    <t>Зерк./ДСП
/Зекр.</t>
  </si>
  <si>
    <t>ДСП/Зекр.
/ДСП</t>
  </si>
  <si>
    <t>ДСП/ДСП/
ДСП</t>
  </si>
  <si>
    <t>2 Зеркала</t>
  </si>
  <si>
    <t>ДСП/ДСП</t>
  </si>
  <si>
    <t>Белый Снег, Венге, Сонома,
Ясень шимо светлый</t>
  </si>
  <si>
    <t>Доп полки</t>
  </si>
  <si>
    <t>Габарит
900/
1900/450</t>
  </si>
  <si>
    <t>Венге</t>
  </si>
  <si>
    <t>45 глубина</t>
  </si>
  <si>
    <t>60 глубина</t>
  </si>
  <si>
    <t>"Экспресс"</t>
  </si>
  <si>
    <t>прайс базовой территории на шкафы-купе</t>
  </si>
  <si>
    <t>473х300х580</t>
  </si>
  <si>
    <t>Стол подставной</t>
  </si>
  <si>
    <t>730х250х1752</t>
  </si>
  <si>
    <t>Стеллаж высокий</t>
  </si>
  <si>
    <t>Стеллаж 8 ячеек</t>
  </si>
  <si>
    <t>Стеллаж 4 ячейки</t>
  </si>
  <si>
    <t>Стеллаж куб 4 ячейки</t>
  </si>
  <si>
    <t>Стеллаж куб 1 ячейка</t>
  </si>
  <si>
    <t>Стеллажи</t>
  </si>
  <si>
    <t>Бетон</t>
  </si>
  <si>
    <t>Белый снег, Сонома</t>
  </si>
  <si>
    <t>Габариты
ШхГхВ</t>
  </si>
  <si>
    <t>Наименование изделия</t>
  </si>
  <si>
    <t>Тип изделия</t>
  </si>
  <si>
    <t>"Ник"</t>
  </si>
  <si>
    <t>Кратно
600/ 700/800</t>
  </si>
  <si>
    <t>ДСП/Стекло(Бел.)</t>
  </si>
  <si>
    <t>ДСП/Стекло(Черн.)</t>
  </si>
  <si>
    <t>Белый Снег, Венге, Сонома</t>
  </si>
  <si>
    <t>"Прайм"</t>
  </si>
  <si>
    <t>Однодверный</t>
  </si>
  <si>
    <t>ДСП/Зеркало</t>
  </si>
  <si>
    <t>Однодверный - распашной</t>
  </si>
  <si>
    <t>Сонома, Белый Снег, Венге, 
Ясень шимо светлый</t>
  </si>
  <si>
    <t>900 глубина</t>
  </si>
  <si>
    <t>серии "Угловой Экспресс"</t>
  </si>
  <si>
    <t>С полками</t>
  </si>
  <si>
    <t>Без полок</t>
  </si>
  <si>
    <t>Доп. Полки</t>
  </si>
  <si>
    <t>Распашной</t>
  </si>
  <si>
    <t>Бетон, Дуб табачный, Серый диамант</t>
  </si>
  <si>
    <t>"Локер"</t>
  </si>
  <si>
    <t>800</t>
  </si>
  <si>
    <t>388</t>
  </si>
  <si>
    <t>Модуль</t>
  </si>
  <si>
    <t>Оптим</t>
  </si>
  <si>
    <t>Лайт 3-х дверный (ЛДСП, Зеркало)</t>
  </si>
  <si>
    <t>700</t>
  </si>
  <si>
    <t>600</t>
  </si>
  <si>
    <t>500</t>
  </si>
  <si>
    <t>440</t>
  </si>
  <si>
    <t>Ширина</t>
  </si>
  <si>
    <t>Высота</t>
  </si>
  <si>
    <t>Комплектующая</t>
  </si>
  <si>
    <t>Серия</t>
  </si>
  <si>
    <t>Лайт 2-х дверный (ЛДСП, Зеркало)</t>
  </si>
  <si>
    <t>Лайт</t>
  </si>
  <si>
    <t>Основной вариант</t>
  </si>
  <si>
    <t>Наименование шкафа на сайте</t>
  </si>
  <si>
    <t>Тип_шкафа</t>
  </si>
  <si>
    <t>Глубина</t>
  </si>
  <si>
    <t>Вариант_исполнения</t>
  </si>
  <si>
    <t>Сумма по полю Значение</t>
  </si>
  <si>
    <t>Признак_ВИ_Шкафа</t>
  </si>
  <si>
    <t>Прайм</t>
  </si>
  <si>
    <t>Прайм 2-х дверный (Белое стекло)</t>
  </si>
  <si>
    <t>Прайм 2-х дверный (Зеркало, Белое стекло)</t>
  </si>
  <si>
    <t>Прайм 2-х дверный (Зеркало, Черное стекло)</t>
  </si>
  <si>
    <t>Прайм 2-х дверный (Зеркало)</t>
  </si>
  <si>
    <t>Прайм 2-х дверный (ЛДСП, Белое стекло)</t>
  </si>
  <si>
    <t>Прайм 2-х дверный (ЛДСП, Зеркало)</t>
  </si>
  <si>
    <t>Прайм 2-х дверный (ЛДСП, Черное стекло)</t>
  </si>
  <si>
    <t>Прайм 2-х дверный (ЛДСП)</t>
  </si>
  <si>
    <t>Прайм 2-х дверный (Черное стекло)</t>
  </si>
  <si>
    <t>Прайм 2-х дверный (3 секции ДСП/стекло белое)</t>
  </si>
  <si>
    <t>Прайм 2-х дверный (3 секции ДСП/стекло черное)</t>
  </si>
  <si>
    <t>Прайм 2-х дверный Комби (ДСП/Зеркало)</t>
  </si>
  <si>
    <t>Прайм 2-х дверный Комби (ДСП/Стекло белое)</t>
  </si>
  <si>
    <t>Прайм 2-х дверный Комби (ДСП/Стекло черное)</t>
  </si>
  <si>
    <t>Прайм 2-х дверный Комби (Зеркало/ДСП)</t>
  </si>
  <si>
    <t>Прайм 2-х дверный Комби (Зеркало/Стекло белое)</t>
  </si>
  <si>
    <t>Прайм 2-х дверный Комби (Зеркало/Стекло черное)</t>
  </si>
  <si>
    <t>Прайм 2-х дверный Комби (Стекло белое/ДСП)</t>
  </si>
  <si>
    <t>Прайм 2-х дверный Комби (Стекло белое/Зеркало)</t>
  </si>
  <si>
    <t>Прайм 2-х дверный Комби (Стекло белое/Стекло черное)</t>
  </si>
  <si>
    <t>Прайм 2-х дверный Комби (Стекло черное/ДСП)</t>
  </si>
  <si>
    <t>Прайм 2-х дверный Комби (Стекло черное/Зеркало)</t>
  </si>
  <si>
    <t>Прайм 2-х дверный Комби (Стекло черное/Стекло белое)</t>
  </si>
  <si>
    <t>Прайм 3-х дверный (Белое стекло, Зеркало)</t>
  </si>
  <si>
    <t>Прайм 3-х дверный (Белое стекло, ЛДСП)</t>
  </si>
  <si>
    <t>Прайм 3-х дверный (Белое стекло)</t>
  </si>
  <si>
    <t>Прайм 3-х дверный (Зеркало, Белое стекло)</t>
  </si>
  <si>
    <t>Прайм 3-х дверный (Зеркало, ЛДСП)</t>
  </si>
  <si>
    <t>Прайм 3-х дверный (Зеркало)</t>
  </si>
  <si>
    <t>Прайм 3-х дверный (ЛДСП, Белое стекло)</t>
  </si>
  <si>
    <t>Прайм 3-х дверный (ЛДСП, Зеркало)</t>
  </si>
  <si>
    <t>Прайм 3-х дверный (ЛДСП, Черное стекло)</t>
  </si>
  <si>
    <t>Прайм 3-х дверный (ЛДСП)</t>
  </si>
  <si>
    <t>Прайм 3-х дверный (Черное стекло, Зеркало)</t>
  </si>
  <si>
    <t>Прайм 3-х дверный (Черное стекло, ЛДСП)</t>
  </si>
  <si>
    <t>Прайм 3-х дверный (Черное стекло)</t>
  </si>
  <si>
    <t>Прайм 3-х дверный (Зеркало, Черное стекло)</t>
  </si>
  <si>
    <t>Прайм 3-х дверный Комби (ДСП/Зеркало)</t>
  </si>
  <si>
    <t>Прайм 3-х дверный Комби (ДСП/Стекло белое)</t>
  </si>
  <si>
    <t>Прайм 3-х дверный Комби (ДСП/Стекло черное)</t>
  </si>
  <si>
    <t>Прайм 3-х дверный Комби (Зеркало/ДСП)</t>
  </si>
  <si>
    <t>Прайм 3-х дверный Комби (Зеркало/Стекло белое)</t>
  </si>
  <si>
    <t>Прайм 3-х дверный Комби (Зеркало/Стекло черное)</t>
  </si>
  <si>
    <t>Прайм 3-х дверный Комби (Стекло белое/ДСП)</t>
  </si>
  <si>
    <t>Прайм 3-х дверный Комби (Стекло белое/Зеркало)</t>
  </si>
  <si>
    <t>Прайм 3-х дверный Комби (Стекло белое/Стекло черное)</t>
  </si>
  <si>
    <t>Прайм 3-х дверный Комби (Стекло черное/ДСП)</t>
  </si>
  <si>
    <t>Прайм 3-х дверный Комби (Стекло черное/Зеркало)</t>
  </si>
  <si>
    <t>Прайм 3-х дверный Комби (Стекло черное/Стекло белое)</t>
  </si>
  <si>
    <t>Прайм Широкий</t>
  </si>
  <si>
    <t>Широкий Прайм 2-х дверный (3 секции ДСП/стекло белое)</t>
  </si>
  <si>
    <t>Широкий Прайм 2-х дверный (3 секции ДСП/стекло черное)</t>
  </si>
  <si>
    <t>Широкий Прайм 3-х дверный (Зеркало)</t>
  </si>
  <si>
    <t>Широкий Прайм 3-х дверный (Зеркало/ЛДСП)</t>
  </si>
  <si>
    <t>Широкий Прайм 3-х дверный (Зеркало/Стекло белое)</t>
  </si>
  <si>
    <t>Широкий Прайм 3-х дверный (Зеркало/Стекло черное)</t>
  </si>
  <si>
    <t>Широкий Прайм 3-х дверный (ЛДСП)</t>
  </si>
  <si>
    <t>Широкий Прайм 3-х дверный (ЛДСП/Зеркало)</t>
  </si>
  <si>
    <t>Широкий Прайм 3-х дверный (ЛДСП/Стекло белое)</t>
  </si>
  <si>
    <t>Широкий Прайм 3-х дверный (ЛДСП/Стекло черное)</t>
  </si>
  <si>
    <t>Широкий Прайм 3-х дверный (Стекло белое)</t>
  </si>
  <si>
    <t>Широкий Прайм 3-х дверный (Стекло белое/Зеркало)</t>
  </si>
  <si>
    <t>Широкий Прайм 3-х дверный (Стекло белое/ЛДСП)</t>
  </si>
  <si>
    <t>Широкий Прайм 3-х дверный (Стекло белое/Стекло черное)</t>
  </si>
  <si>
    <t>Широкий Прайм 3-х дверный (Стекло черное)</t>
  </si>
  <si>
    <t>Широкий Прайм 3-х дверный (Стекло черное/Зеркало)</t>
  </si>
  <si>
    <t>Широкий Прайм 3-х дверный (Стекло черное/ЛДСП)</t>
  </si>
  <si>
    <t>Широкий Прайм 3-х дверный (Стекло черное/Стекло белое)</t>
  </si>
  <si>
    <t>Широкий Прайм 3-х дверный (3 секции ДСП/стекло белое)</t>
  </si>
  <si>
    <t>Широкий Прайм 3-х дверный (3 секции ДСП/стекло черное)</t>
  </si>
  <si>
    <t>Широкий Прайм 3-х дверный Комби (ДСП/Зеркало)</t>
  </si>
  <si>
    <t>Широкий Прайм 3-х дверный Комби (ДСП/Стекло белое)</t>
  </si>
  <si>
    <t>Широкий Прайм 3-х дверный Комби (ДСП/Стекло черное)</t>
  </si>
  <si>
    <t>Широкий Прайм 3-х дверный Комби (Зеркало/ДСП)</t>
  </si>
  <si>
    <t>Широкий Прайм 3-х дверный Комби (Зеркало/Стекло белое)</t>
  </si>
  <si>
    <t>Широкий Прайм 3-х дверный Комби (Зеркало/Стекло черное)</t>
  </si>
  <si>
    <t>Широкий Прайм 3-х дверный Комби (Стекло белое/ДСП)</t>
  </si>
  <si>
    <t>Широкий Прайм 3-х дверный Комби (Стекло белое/Зеркало)</t>
  </si>
  <si>
    <t>Широкий Прайм 3-х дверный Комби (Стекло белое/Стекло черное)</t>
  </si>
  <si>
    <t>Широкий Прайм 3-х дверный Комби (Стекло черное/ДСП)</t>
  </si>
  <si>
    <t>Широкий Прайм 3-х дверный Комби (Стекло черное/Зеркало)</t>
  </si>
  <si>
    <t>Широкий Прайм 3-х дверный Комби (Стекло черное/Стекло белое)</t>
  </si>
  <si>
    <t>Экспресс</t>
  </si>
  <si>
    <t>Экспресс 2-х дверный (Зеркало)</t>
  </si>
  <si>
    <t>Экспресс 2-х дверный (Фото№1001 Абстракция серая)</t>
  </si>
  <si>
    <t>Экспресс 2-х дверный (Фото№1011 Фиолетовый дым)</t>
  </si>
  <si>
    <t>Экспресс 2-х дверный (Фото№1016 Абстракция золотая пыль)</t>
  </si>
  <si>
    <t>Экспресс 2-х дверный (Фото№1020 Пионы)</t>
  </si>
  <si>
    <t>Экспресс 2-х дверный (Фото№1024 Париж)</t>
  </si>
  <si>
    <t>Экспресс 2-х дверный (Фото№1026 Ночной Лондон)</t>
  </si>
  <si>
    <t>Экспресс 2-х дверный Комби (Зеркало, ЛДСП)</t>
  </si>
  <si>
    <t>Экспресс 2-х дверный (Фото№1014 Закат над городом)</t>
  </si>
  <si>
    <t>Экспресс 2-х дверный (Фото№1015 Морские волны)</t>
  </si>
  <si>
    <t>Экспресс 2-х дверный (Фото№1022 Улица)</t>
  </si>
  <si>
    <t>Экспресс 2-х дверный (Фото№1023 Сакура)</t>
  </si>
  <si>
    <t>Экспресс 2-х дверный (Фото№1007 Ночной мост)</t>
  </si>
  <si>
    <t>Экспресс 2-х дверный (Фото№1008 Ночная магистраль)</t>
  </si>
  <si>
    <t>Экспресс 2-х дверный (Фото№1010 Абстракция бело-голубая)</t>
  </si>
  <si>
    <t>Экспресс 2-х дверный (Фото№1025 Орхидея белая)</t>
  </si>
  <si>
    <t>Экспресс 2-х дверный (Фото№1018 Абстракция фиолетово-золотая)</t>
  </si>
  <si>
    <t>Экспресс 2-х дверный (Фото№1006 Абстракция оранжево-голубая)</t>
  </si>
  <si>
    <t>Экспресс 2-х дверный (Фото№1002 Абстракция фиолетовая)</t>
  </si>
  <si>
    <t>Экспресс 2-х дверный (Фото№1003 Листья золото)</t>
  </si>
  <si>
    <t>Экспресс 2-х дверный (Фото№1005 Абстракция розовая)</t>
  </si>
  <si>
    <t>Экспресс 2-х дверный (Фото№1017 Буквы)</t>
  </si>
  <si>
    <t>Экспресс 2-х дверный (Фото№1013 Золотой орнамент)</t>
  </si>
  <si>
    <t>Экспресс 2-х дверный (Фото№1004 Джунгли темные)</t>
  </si>
  <si>
    <t>Экспресс 2-х дверный (ЛДСП)</t>
  </si>
  <si>
    <t>Экспресс 2-х дверный (ЛДСП, Зеркало)</t>
  </si>
  <si>
    <t>Экспресс Хит 2-х дверный (Зеркало)</t>
  </si>
  <si>
    <t>Экспресс Хит 2-х дверный (ЛДСП, Зеркало)</t>
  </si>
  <si>
    <t>Экспресс Хит 2-х дверный (ЛДСП)</t>
  </si>
  <si>
    <t>Экспресс Хит 2-х дверный (Фото№1025 Орхидея белая)</t>
  </si>
  <si>
    <t>Экспресс Хит 2-х дверный Комби (ЛДСП, Зеркало)</t>
  </si>
  <si>
    <t>Широкий Экспресс 2-х дверный (Зеркало, ЛДСП)</t>
  </si>
  <si>
    <t>Широкий Экспресс 2-х дверный (Зеркало)</t>
  </si>
  <si>
    <t>Широкий Экспресс 2-х дверный (ЛДСП)</t>
  </si>
  <si>
    <t>Экспресс 3-х дверный (Фото№1013 Золотой орнамент)</t>
  </si>
  <si>
    <t>Экспресс 3-х дверный (Фото№1017 Буквы)</t>
  </si>
  <si>
    <t>Экспресс 3-х дверный (Фото№1026 Ночной Лондон)</t>
  </si>
  <si>
    <t>Экспресс 3-х дверный (Фото№1024 Париж)</t>
  </si>
  <si>
    <t>Экспресс 3-х дверный (Фото№1025 Орхидея белая)</t>
  </si>
  <si>
    <t>Экспресс 3-х дверный (Фото№1015 Морские волны)</t>
  </si>
  <si>
    <t>Экспресс 3-х дверный (Фото№1016 Абстракция золотая пыль)</t>
  </si>
  <si>
    <t>Экспресс 3-х дверный (Фото№1023 Сакура)</t>
  </si>
  <si>
    <t>Экспресс 3-х дверный Комби (Зеркало, ЛДСП)</t>
  </si>
  <si>
    <t>Экспресс 3-х дверный (Фото№1007 Ночной мост)</t>
  </si>
  <si>
    <t>Экспресс 3-х дверный (Фото№1008 Ночная магистраль)</t>
  </si>
  <si>
    <t>Экспресс 3-х дверный (Фото№1010 Абстракция бело-голубая)</t>
  </si>
  <si>
    <t>Экспресс 3-х дверный (Фото№1011 Фиолетовый дым)</t>
  </si>
  <si>
    <t>Экспресс 3-х дверный (Фото№1020 Пионы)</t>
  </si>
  <si>
    <t>Экспресс 3-х дверный (Фото№1022 Улица)</t>
  </si>
  <si>
    <t>Экспресс 3-х дверный (Фото№1006 Абстракция оранжево-голубая)</t>
  </si>
  <si>
    <t>Экспресс 3-х дверный (Фото№1018 Абстракция фиолетово-золотая)</t>
  </si>
  <si>
    <t>Экспресс 3-х дверный (Фото№1014 Закат над городом)</t>
  </si>
  <si>
    <t>Экспресс 3-х дверный (Фото№1004 Джунгли темные)</t>
  </si>
  <si>
    <t>Экспресс 3-х дверный (ЛДСП, Зеркало)</t>
  </si>
  <si>
    <t>Экспресс 3-х дверный (Фото№1003 Листья золото)</t>
  </si>
  <si>
    <t>Экспресс 3-х дверный (Фото№1005 Абстракция розовая)</t>
  </si>
  <si>
    <t>Экспресс 3-х дверный (Зеркало, ЛДСП)</t>
  </si>
  <si>
    <t>Экспресс 3-х дверный (ЛДСП)</t>
  </si>
  <si>
    <t>Экспресс 3-х дверный (Фото№1002 Абстракция фиолетовая)</t>
  </si>
  <si>
    <t>Экспресс 3-х дверный (Фото№1001 Абстракция серая)</t>
  </si>
  <si>
    <t>Экспресс 3-х дверный (Зеркало)</t>
  </si>
  <si>
    <t>Эста</t>
  </si>
  <si>
    <t>Эста 2-х дверный (8 Стекол Магнолия)</t>
  </si>
  <si>
    <t>Эста 2-х дверный Комби (4 Белых стекла / 4 ЛДСП)</t>
  </si>
  <si>
    <t>Эста 2-х дверный Комби (4 Белых стекла Диско / 4 Черных стекла Диско)</t>
  </si>
  <si>
    <t>Эста 2-х дверный Комби (4 Зеркала / 4 Белых стекло)</t>
  </si>
  <si>
    <t>Эста 2-х дверный Комби (4 Зеркала / 4 Стекла Барокко)</t>
  </si>
  <si>
    <t>Эста 2-х дверный Комби (4 Зеркала / 4 Стекла Лабиринт)</t>
  </si>
  <si>
    <t>Эста 2-х дверный Комби (4 Белых стекла / 4 Черных стекла Диско)</t>
  </si>
  <si>
    <t>Эста 2-х дверный Комби (4 Белых стекла Диско / 4 Стекла лабиринт)</t>
  </si>
  <si>
    <t>Эста 2-х дверный Комби (4 Зеркала бронза / 4 Белых стекла)</t>
  </si>
  <si>
    <t>Эста 2-х дверный Комби (4 Зеркала / 4 Черных стекла)</t>
  </si>
  <si>
    <t>Эста 2-х дверный Комби (4 Зеркала / 4 Стекла Магнолия)</t>
  </si>
  <si>
    <t>Эста 2-х дверный Комби (4 Зеркала / 4 Черных стекла Диско)</t>
  </si>
  <si>
    <t>Эста 2-х дверный Комби (4 Белых стекла Диско / 4 Зеркала)</t>
  </si>
  <si>
    <t>Эста 2-х дверный Комби (4 Зеркала / 4 ЛДСП)</t>
  </si>
  <si>
    <t>Эста 2-х дверный (8 Стекол Барокко)</t>
  </si>
  <si>
    <t>Эста 2-х дверный Комби (4 Белых стекла Диско / 4 Стекла Магнолия)</t>
  </si>
  <si>
    <t>Эста 2-х дверный (8 Белых стекол)</t>
  </si>
  <si>
    <t>Эста 2-х дверный Комби (4 Зеркала / 4 Белых стекла Диско)</t>
  </si>
  <si>
    <t>Эста 2-х дверный (8 Стекол Лабиринт)</t>
  </si>
  <si>
    <t>Эста 2-х дверный (8 Черных стекол Диско)</t>
  </si>
  <si>
    <t>Эста 2-х дверный (8 Черных стекол)</t>
  </si>
  <si>
    <t>Эста 2-х дверный Комби (4 Белых стекла / 4 Зеркала бронза)</t>
  </si>
  <si>
    <t>Эста 2-х дверный Комби (4 Белых стекла / 4 Стекла Барокко)</t>
  </si>
  <si>
    <t>Эста 2-х дверный Комби (4 Белых стекла Диско / 4 ЛДСП)</t>
  </si>
  <si>
    <t>Эста 2-х дверный Комби (4 Белых стекла / 4 Зеркала)</t>
  </si>
  <si>
    <t>Эста 2-х дверный Комби (4 Белых стекла / 4 Стекла Лабиринт)</t>
  </si>
  <si>
    <t>Эста 2-х дверный Комби (4 Белых стекла / 4 Черных стекла)</t>
  </si>
  <si>
    <t>Эста 2-х дверный Комби (4 Белых стекла Диско / 4 Белых стекла)</t>
  </si>
  <si>
    <t>Эста 2-х дверный Комби (4 Белых стекла / 4 Стекла Магнолия)</t>
  </si>
  <si>
    <t>Эста 2-х дверный Комби (4 Белых стекла / 4 Белых стекла Диско)</t>
  </si>
  <si>
    <t>Эста 2-х дверный (8 Зеркал бронза)</t>
  </si>
  <si>
    <t>Эста 2-х дверный (8 ЛДСП)</t>
  </si>
  <si>
    <t>Эста 2-х дверный (8 Зеркал)</t>
  </si>
  <si>
    <t>Эста 2-х дверный (8 Белых стекол Диско)</t>
  </si>
  <si>
    <t>Эста 2-х дверный Комби (4 ЛДСП / 4 Белых стекла)</t>
  </si>
  <si>
    <t>Эста 2-х дверный Комби (4 ЛДСП / 4 Черных стекла)</t>
  </si>
  <si>
    <t>Эста 2-х дверный Комби (4 Стекла Магнолия / 4 Зеркала бронза)</t>
  </si>
  <si>
    <t>Эста 2-х дверный Комби (4 Зеркала бронза / 4 ЛДСП)</t>
  </si>
  <si>
    <t>Эста 2-х дверный Комби (4 Зеркала бронза / 4 Стекла Лабиринт)</t>
  </si>
  <si>
    <t>Эста 2-х дверный Комби (4 Зеркала бронза / 4 Стекла Магнолия)</t>
  </si>
  <si>
    <t>Эста 2-х дверный Комби (4 Зеркала бронза / 4 Черных стекла)</t>
  </si>
  <si>
    <t>Эста 2-х дверный Комби (4 ЛДСП / 4 Белых стекла Диско)</t>
  </si>
  <si>
    <t>Эста 2-х дверный Комби (4 ЛДСП / 4 Зеркала бронза)</t>
  </si>
  <si>
    <t>Эста 2-х дверный Комби (4 ЛДСП / 4 Зеркала)</t>
  </si>
  <si>
    <t>Эста 2-х дверный Комби (4 ЛДСП / 4 Стекла Барокко)</t>
  </si>
  <si>
    <t>Эста 2-х дверный Комби (4 ЛДСП / 4 Стекла Лабиринт)</t>
  </si>
  <si>
    <t>Эста 2-х дверный Комби (4 ЛДСП / 4 Стекла Магнолия)</t>
  </si>
  <si>
    <t>Эста 2-х дверный Комби (4 ЛДСП / 4 Черных стекла Диско)</t>
  </si>
  <si>
    <t>Эста 2-х дверный Комби (4 Стекла Барокко / 4 Белых стекла)</t>
  </si>
  <si>
    <t>Эста 2-х дверный Комби (4 Стекла Барокко / 4 Зеркала)</t>
  </si>
  <si>
    <t>Эста 2-х дверный Комби (4 Стекла Барокко / 4 ЛДСП)</t>
  </si>
  <si>
    <t>Эста 2-х дверный Комби (4 Стекла Лабиринт / 4 Зеркала бронза)</t>
  </si>
  <si>
    <t>Эста 2-х дверный Комби (4 Стекла Лабиринт / 4 ЛДСП)</t>
  </si>
  <si>
    <t>Эста 2-х дверный Комби (4 Стекла Магнолия / 4 ЛДСП)</t>
  </si>
  <si>
    <t>Эста 2-х дверный Комби (4 Стекла Магнолия / 4 Стекла Лабиринт)</t>
  </si>
  <si>
    <t>Эста 2-х дверный Комби (4 Черных стекла / 4 Белых стекла Диско)</t>
  </si>
  <si>
    <t>Эста 2-х дверный Комби (4 Черных стекла / 4 Зеркала бронза)</t>
  </si>
  <si>
    <t>Эста 2-х дверный Комби (4 Черных стекла / 4 Зеркала)</t>
  </si>
  <si>
    <t>Эста 2-х дверный Комби (4 Черных стекла / 4 ЛДСП)</t>
  </si>
  <si>
    <t>Эста 2-х дверный Комби (4 Черных стекла / 4 Стекла Лабиринт)</t>
  </si>
  <si>
    <t>Эста 2-х дверный Комби (4 Черных стекла / 4 Стекла Магнолия)</t>
  </si>
  <si>
    <t>Эста 2-х дверный Комби (4 Черных стекла / 4 Черных стекла Диско)</t>
  </si>
  <si>
    <t>Эста 2-х дверный Комби (4 Черных стекла Диско / 4 Зеркала)</t>
  </si>
  <si>
    <t>Эста 2-х дверный Комби (4 Черных стекла Диско / 4 ЛДСП)</t>
  </si>
  <si>
    <t>Эста 2-х дверный Комби (4 Черных стекла Диско / 4 Стекла Лабиринт)</t>
  </si>
  <si>
    <t>Эста 2-х дверный Комби (4 Черных стекла Диско / 4 Стекла Магнолия)</t>
  </si>
  <si>
    <t>Эста 2-х дверный Комби (4 Черных стекла Диско / 4 Черных стекла)</t>
  </si>
  <si>
    <t>Эста 2-х дверный Медиум (4 Белых стекла / 4 Белых стекло Диско)</t>
  </si>
  <si>
    <t>Эста 2-х дверный Медиум (4 Белых стекла / 4 Стекла Барокко)</t>
  </si>
  <si>
    <t>Эста 2-х дверный Медиум (4 Белых стекла / 4 Стекла Лабиринт)</t>
  </si>
  <si>
    <t>Эста 2-х дверный Медиум (4 Белых стекла / 4 Стекла Магнолия)</t>
  </si>
  <si>
    <t>Эста 2-х дверный Медиум (4 Белых стекла / 4 Чернах стекла)</t>
  </si>
  <si>
    <t>Эста 2-х дверный Медиум (4 Белых стекла / 4 Черных стекла Диско)</t>
  </si>
  <si>
    <t>Эста 2-х дверный Медиум (4 Белых стекла Диско / 4 Стекла Лабиринт)</t>
  </si>
  <si>
    <t>Эста 2-х дверный Медиум (4 Белых стекла Диско / 4 Стекла Магнолия)</t>
  </si>
  <si>
    <t>Эста 2-х дверный Медиум (4 Зеркала / 4 Белых стекла Диско)</t>
  </si>
  <si>
    <t>Эста 2-х дверный Медиум (4 Зеркала / 4 Белых стекла)</t>
  </si>
  <si>
    <t>Эста 2-х дверный Медиум (4 Зеркала / 4 Стекла Барокко)</t>
  </si>
  <si>
    <t>Эста 2-х дверный Медиум (4 Зеркала / 4 Стекла Лабиринт)</t>
  </si>
  <si>
    <t>Эста 2-х дверный Медиум (4 Зеркала / 4 Стекла Магнолия)</t>
  </si>
  <si>
    <t>Эста 2-х дверный Медиум (4 Зеркала / 4 Черный стекла Диско)</t>
  </si>
  <si>
    <t>Эста 2-х дверный Медиум (4 Зеркала / 4 Черных стекла)</t>
  </si>
  <si>
    <t>Эста 2-х дверный Медиум (4 Зеркала бронза / 4 Белых стекла)</t>
  </si>
  <si>
    <t>Эста 2-х дверный Медиум (4 ЛДСП / 4 Белых стекол Диско)</t>
  </si>
  <si>
    <t>Эста 2-х дверный Медиум (4 ЛДСП / 4 Зеркала бронза)</t>
  </si>
  <si>
    <t>Эста 2-х дверный Медиум (4 ЛДСП / 4 Зеркала)</t>
  </si>
  <si>
    <t>Эста 2-х дверный Медиум (4 ЛДСП / 4 Стекла Барокко)</t>
  </si>
  <si>
    <t>Эста 2-х дверный Медиум (4 ЛДСП / 4 Стекла белого)</t>
  </si>
  <si>
    <t>Эста 2-х дверный Медиум (4 ЛДСП / 4 Стекла Лабиринт)</t>
  </si>
  <si>
    <t>Эста 2-х дверный Медиум (4 ЛДСП / 4 Стекла Магнолия)</t>
  </si>
  <si>
    <t>Эста 2-х дверный Медиум (4 ЛДСП / 4 Стекла черного)</t>
  </si>
  <si>
    <t>Эста 2-х дверный Медиум (4 ЛДСП / 4 Черный стекол Диско)</t>
  </si>
  <si>
    <t>Эста 2-х дверный Медиум (4 Стекла Лабиринт / 4 Зеркала бронза)</t>
  </si>
  <si>
    <t>Эста 2-х дверный Медиум (4 Стекла Магнолия / 4 Зеркала бронза)</t>
  </si>
  <si>
    <t>Эста 2-х дверный Медиум (4 Стекла Магнолия / 4 Стекла Лабиринт)</t>
  </si>
  <si>
    <t>Эста 2-х дверный Медиум (4 Черных стекла / 4 Белых стекла Диско)</t>
  </si>
  <si>
    <t>Эста 2-х дверный Медиум (4 Черных стекла / 4 Зеркала бронза)</t>
  </si>
  <si>
    <t>Эста 2-х дверный Медиум (4 Черных стекла / 4 Стекла Лабиринт)</t>
  </si>
  <si>
    <t>Эста 2-х дверный Медиум (4 Черных стекла / 4 Стекла Магнолия)</t>
  </si>
  <si>
    <t>Эста 2-х дверный Медиум (4 Черных стекла / 4 Черных стекла Диско)</t>
  </si>
  <si>
    <t>Эста 2-х дверный Медиум (4 Черных стекла Диско / 4 Белых стекла Диско)</t>
  </si>
  <si>
    <t>Эста 2-х дверный Медиум (4 Черных стекла Диско / 4 Стекла Лабиринт)</t>
  </si>
  <si>
    <t>Эста 2-х дверный Медиум (4 Черных стекла Диско / 4 Стекла Магнолия)</t>
  </si>
  <si>
    <t>Эста 2-х дверный полоса горизонтальная (2 из 4) (6 Белых стекол / 2 Белых стекла Диско)</t>
  </si>
  <si>
    <t>Эста 2-х дверный полоса горизонтальная (2 из 4) (6 Белых стекол / 2 Зеркала)</t>
  </si>
  <si>
    <t>Эста 2-х дверный полоса горизонтальная (2 из 4) (6 Белых стекол / 2 ЛДСП)</t>
  </si>
  <si>
    <t>Эста 2-х дверный полоса горизонтальная (2 из 4) (6 Белых стекол / 2 Стекла Лабиринт)</t>
  </si>
  <si>
    <t>Эста 2-х дверный полоса горизонтальная (2 из 4) (6 Белых стекол / 2 Стекла Магнолия)</t>
  </si>
  <si>
    <t>Эста 2-х дверный полоса горизонтальная (2 из 4) (6 Белых стекол / 2 Черных стекла Диско)</t>
  </si>
  <si>
    <t>Эста 2-х дверный полоса горизонтальная (2 из 4) (6 Белых стекол / 2 Черных стекол)</t>
  </si>
  <si>
    <t>Эста 2-х дверный полоса горизонтальная (2 из 4) (6 Белых стекол Диско / 2 Белых стекла)</t>
  </si>
  <si>
    <t>Эста 2-х дверный полоса горизонтальная (2 из 4) (6 Белых стекол Диско / 2 Зеркала)</t>
  </si>
  <si>
    <t>Эста 2-х дверный полоса горизонтальная (2 из 4) (6 Белых стекол Диско / 2 ЛДСП)</t>
  </si>
  <si>
    <t>Эста 2-х дверный полоса горизонтальная (2 из 4) (6 Белых стекол Диско / 2 Стекла Лабиринт)</t>
  </si>
  <si>
    <t>Эста 2-х дверный полоса горизонтальная (2 из 4) (6 Белых стекол Диско / 2 Стекла Магнолия)</t>
  </si>
  <si>
    <t>Эста 2-х дверный полоса горизонтальная (2 из 4) (6 Белых стекол Диско / 2 Черных стекла Диско)</t>
  </si>
  <si>
    <t>Эста 2-х дверный полоса горизонтальная (2 из 4) (6 Белых стекол Диско / 2 Черных стекла)</t>
  </si>
  <si>
    <t>Эста 2-х дверный полоса горизонтальная (2 из 4) (6 Зеркал / 2 Белых стекла Диско)</t>
  </si>
  <si>
    <t>Эста 2-х дверный полоса горизонтальная (2 из 4) (6 Зеркал / 2 ЛДСП)</t>
  </si>
  <si>
    <t>Эста 2-х дверный полоса горизонтальная (2 из 4) (6 Зеркал / 2 Стекол Лабиринт)</t>
  </si>
  <si>
    <t>Эста 2-х дверный полоса горизонтальная (2 из 4) (6 Зеркал / 2 Стекол Магнолия)</t>
  </si>
  <si>
    <t>Эста 2-х дверный полоса горизонтальная (2 из 4) (6 Зеркал / 2 Черных стекол Диско)</t>
  </si>
  <si>
    <t>Эста 2-х дверный полоса горизонтальная (2 из 4) (6 Зеркал / 2 Черных стекол)</t>
  </si>
  <si>
    <t>Эста 2-х дверный полоса горизонтальная (2 из 4) (6 Зеркало / 2 Белых стекол)</t>
  </si>
  <si>
    <t>Эста 2-х дверный полоса горизонтальная (2 из 4) (6 ЛДСП / 2 Белых стекла Диско)</t>
  </si>
  <si>
    <t>Эста 2-х дверный полоса горизонтальная (2 из 4) (6 ЛДСП / 2 Зеркало)</t>
  </si>
  <si>
    <t>Эста 2-х дверный полоса горизонтальная (2 из 4) (6 ЛДСП / 2 Стекло белое)</t>
  </si>
  <si>
    <t>Эста 2-х дверный полоса горизонтальная (2 из 4) (6 ЛДСП / 2 Стекло черное)</t>
  </si>
  <si>
    <t>Эста 2-х дверный полоса горизонтальная (2 из 4) (6 ЛДСП / 2 Стекол Лабиринт)</t>
  </si>
  <si>
    <t>Эста 2-х дверный полоса горизонтальная (2 из 4) (6 ЛДСП / 2 Стекол Магнолия)</t>
  </si>
  <si>
    <t>Эста 2-х дверный полоса горизонтальная (2 из 4) (6 ЛДСП / 2 Черный стекло Диско)</t>
  </si>
  <si>
    <t>Эста 2-х дверный полоса горизонтальная (2 из 4) (6 Стекло Лабиринт / 2 Черных стекла Диско)</t>
  </si>
  <si>
    <t>Эста 2-х дверный полоса горизонтальная (2 из 4) (6 Стекол Лабиринт / 2 Белых стекла Диско)</t>
  </si>
  <si>
    <t>Эста 2-х дверный полоса горизонтальная (2 из 4) (6 Стекол Лабиринт / 2 Белых стекла)</t>
  </si>
  <si>
    <t>Эста 2-х дверный полоса горизонтальная (2 из 4) (6 Стекол Лабиринт / 2 Зеркала)</t>
  </si>
  <si>
    <t>Эста 2-х дверный полоса горизонтальная (2 из 4) (6 Стекол Лабиринт / 2 ЛДСП)</t>
  </si>
  <si>
    <t>Эста 2-х дверный полоса горизонтальная (2 из 4) (6 Стекол Лабиринт / 2 Стекла Магнолия)</t>
  </si>
  <si>
    <t>Эста 2-х дверный полоса горизонтальная (2 из 4) (6 Стекол Лабиринт / 2 Черных стекла)</t>
  </si>
  <si>
    <t>Эста 2-х дверный полоса горизонтальная (2 из 4) (6 Стекол Магнолия / 2 Белых стекла Диско)</t>
  </si>
  <si>
    <t>Эста 2-х дверный полоса горизонтальная (2 из 4) (6 Стекол Магнолия / 2 Белых стекла)</t>
  </si>
  <si>
    <t>Эста 2-х дверный полоса горизонтальная (2 из 4) (6 Стекол Магнолия / 2 Зеркала)</t>
  </si>
  <si>
    <t>Эста 2-х дверный полоса горизонтальная (2 из 4) (6 Стекол Магнолия / 2 ЛДСП)</t>
  </si>
  <si>
    <t>Эста 2-х дверный полоса горизонтальная (2 из 4) (6 Стекол Магнолия / 2 Стекла Лабиринт)</t>
  </si>
  <si>
    <t>Эста 2-х дверный полоса горизонтальная (2 из 4) (6 Стекол Магнолия / 2 Черных стекла Диско)</t>
  </si>
  <si>
    <t>Эста 2-х дверный полоса горизонтальная (2 из 4) (6 Стекол Магнолия / 2 Черных стекла)</t>
  </si>
  <si>
    <t>Эста 2-х дверный полоса горизонтальная (2 из 4) (6 Черных стекло Диско / 2 ЛДСП)</t>
  </si>
  <si>
    <t>Эста 2-х дверный полоса горизонтальная (2 из 4) (6 Черных стекол / 2 Белых стекла)</t>
  </si>
  <si>
    <t>Эста 2-х дверный полоса горизонтальная (2 из 4) (6 Черных стекол / 2 Белых стекол Диско)</t>
  </si>
  <si>
    <t>Эста 2-х дверный полоса горизонтальная (2 из 4) (6 Черных стекол / 2 Зеркала)</t>
  </si>
  <si>
    <t>Эста 2-х дверный полоса горизонтальная (2 из 4) (6 Черных стекол / 2 ЛДСП)</t>
  </si>
  <si>
    <t>Эста 2-х дверный полоса горизонтальная (2 из 4) (6 Черных стекол / 2 Стекла Лабиринт)</t>
  </si>
  <si>
    <t>Эста 2-х дверный полоса горизонтальная (2 из 4) (6 Черных стекол / 2 Стекла Магнолия)</t>
  </si>
  <si>
    <t>Эста 2-х дверный полоса горизонтальная (2 из 4) (6 Черных стекол / 2 Черных стекла Диско)</t>
  </si>
  <si>
    <t>Эста 2-х дверный полоса горизонтальная (2 из 4) (6 Черных стекол Диско / 2 Белых стекла Диско)</t>
  </si>
  <si>
    <t>Эста 2-х дверный полоса горизонтальная (2 из 4) (6 Черных стекол Диско / 2 Белых стекла)</t>
  </si>
  <si>
    <t>Эста 2-х дверный полоса горизонтальная (2 из 4) (6 Черных стекол Диско / 2 Зеркала)</t>
  </si>
  <si>
    <t>Эста 2-х дверный полоса горизонтальная (2 из 4) (6 Черных стекол Диско / 2 Стекла Лабиринт)</t>
  </si>
  <si>
    <t>Эста 2-х дверный полоса горизонтальная (2 из 4) (6 Черных стекол Диско / 2 Стекла Магнолия)</t>
  </si>
  <si>
    <t>Эста 2-х дверный полоса горизонтальная (2 из 4) (6 Черных стекол Диско / 2 Черных стекла)</t>
  </si>
  <si>
    <t>Эста 2-х дверный полоса горизонтальная (3 из 4) (6 Белых стекол / 2 Белых стекла Диско)</t>
  </si>
  <si>
    <t>Эста 2-х дверный полоса горизонтальная (3 из 4) (6 Белых стекол / 2 Зеркала)</t>
  </si>
  <si>
    <t>Эста 2-х дверный полоса горизонтальная (3 из 4) (6 Белых стекол / 2 ЛДСП)</t>
  </si>
  <si>
    <t>Эста 2-х дверный полоса горизонтальная (3 из 4) (6 Белых стекол / 2 Стекла Лабиринт)</t>
  </si>
  <si>
    <t>Эста 2-х дверный полоса горизонтальная (3 из 4) (6 Белых стекол / 2 Стекла Магнолия)</t>
  </si>
  <si>
    <t>Эста 2-х дверный полоса горизонтальная (3 из 4) (6 Белых стекол / 2 Черный стекла Диско)</t>
  </si>
  <si>
    <t>Эста 2-х дверный полоса горизонтальная (3 из 4) (6 Белых стекол / 2 Черных стекла)</t>
  </si>
  <si>
    <t>Эста 2-х дверный полоса горизонтальная (3 из 4) (6 Белых стекол Диско / 2 Белых стекла)</t>
  </si>
  <si>
    <t>Эста 2-х дверный полоса горизонтальная (3 из 4) (6 Белых стекол Диско / 2 Зеркала)</t>
  </si>
  <si>
    <t>Эста 2-х дверный полоса горизонтальная (3 из 4) (6 Белых стекол Диско / 2 ЛДСП)</t>
  </si>
  <si>
    <t>Эста 2-х дверный полоса горизонтальная (3 из 4) (6 Белых стекол Диско / 2 Стекла Лабиринт)</t>
  </si>
  <si>
    <t>Эста 2-х дверный полоса горизонтальная (3 из 4) (6 Белых стекол Диско / 2 Стекла Магнолия)</t>
  </si>
  <si>
    <t>Эста 2-х дверный полоса горизонтальная (3 из 4) (6 Белых стекол Диско / 2 Черных стекла Диско)</t>
  </si>
  <si>
    <t>Эста 2-х дверный полоса горизонтальная (3 из 4) (6 Белых стекол Диско / 2 Черных стекла)</t>
  </si>
  <si>
    <t>Эста 2-х дверный полоса горизонтальная (3 из 4) (6 Зеркал / 2 Белых стекла Диско)</t>
  </si>
  <si>
    <t>Эста 2-х дверный полоса горизонтальная (3 из 4) (6 Зеркал / 2 Белых стекла)</t>
  </si>
  <si>
    <t>Эста 2-х дверный полоса горизонтальная (3 из 4) (6 Зеркал / 2 ЛДСП)</t>
  </si>
  <si>
    <t>Эста 2-х дверный полоса горизонтальная (3 из 4) (6 Зеркал / 2 Стекла Лабиринт)</t>
  </si>
  <si>
    <t>Эста 2-х дверный полоса горизонтальная (3 из 4) (6 Зеркал / 2 Стекла Магнолия)</t>
  </si>
  <si>
    <t>Эста 2-х дверный полоса горизонтальная (3 из 4) (6 Зеркал / 2 Черных стекла Диско)</t>
  </si>
  <si>
    <t>Эста 2-х дверный полоса горизонтальная (3 из 4) (6 Зеркал / 2 Черных стекла)</t>
  </si>
  <si>
    <t>Эста 2-х дверный полоса горизонтальная (3 из 4) (6 ЛДСП / 2 Белых стекла Диско)</t>
  </si>
  <si>
    <t>Эста 2-х дверный полоса горизонтальная (3 из 4) (6 ЛДСП / 2 Белых стекла)</t>
  </si>
  <si>
    <t>Эста 2-х дверный полоса горизонтальная (3 из 4) (6 ЛДСП / 2 Зеркала)</t>
  </si>
  <si>
    <t>Эста 2-х дверный полоса горизонтальная (3 из 4) (6 ЛДСП / 2 Стекла Лабиринт)</t>
  </si>
  <si>
    <t>Эста 2-х дверный полоса горизонтальная (3 из 4) (6 ЛДСП / 2 Стекла Магнолия)</t>
  </si>
  <si>
    <t>Эста 2-х дверный полоса горизонтальная (3 из 4) (6 ЛДСП / 2 Черных стекла Диско)</t>
  </si>
  <si>
    <t>Эста 2-х дверный полоса горизонтальная (3 из 4) (6 ЛДСП / 2 Черных стекла)</t>
  </si>
  <si>
    <t>Эста 2-х дверный полоса горизонтальная (3 из 4) (6 Стекол Лабиринт / 2 Белых стекла Диско)</t>
  </si>
  <si>
    <t>Эста 2-х дверный полоса горизонтальная (3 из 4) (6 Стекол Лабиринт / 2 Белых стекла)</t>
  </si>
  <si>
    <t>Эста 2-х дверный полоса горизонтальная (3 из 4) (6 Стекол Лабиринт / 2 Зеркала)</t>
  </si>
  <si>
    <t>Эста 2-х дверный полоса горизонтальная (3 из 4) (6 Стекол Лабиринт / 2 ЛДСП)</t>
  </si>
  <si>
    <t>Эста 2-х дверный полоса горизонтальная (3 из 4) (6 Стекол Лабиринт / 2 Стекла Магнолия)</t>
  </si>
  <si>
    <t>Эста 2-х дверный полоса горизонтальная (3 из 4) (6 Стекол Лабиринт / 2 Черных стекла Диско)</t>
  </si>
  <si>
    <t>Эста 2-х дверный полоса горизонтальная (3 из 4) (6 Стекол Лабиринт / 2 Черных стекла)</t>
  </si>
  <si>
    <t>Эста 2-х дверный полоса горизонтальная (3 из 4) (6 Стекол Магнолия / 2 Белых стекла Диско)</t>
  </si>
  <si>
    <t>Эста 2-х дверный полоса горизонтальная (3 из 4) (6 Стекол Магнолия / 2 Белых стекла)</t>
  </si>
  <si>
    <t>Эста 2-х дверный полоса горизонтальная (3 из 4) (6 Стекол Магнолия / 2 Зеркала)</t>
  </si>
  <si>
    <t>Эста 2-х дверный полоса горизонтальная (3 из 4) (6 Стекол Магнолия / 2 ЛДСП)</t>
  </si>
  <si>
    <t>Эста 2-х дверный полоса горизонтальная (3 из 4) (6 Стекол Магнолия / 2 Стекла Лабиринт)</t>
  </si>
  <si>
    <t>Эста 2-х дверный полоса горизонтальная (3 из 4) (6 Стекол Магнолия / 2 Черных стекла Диско)</t>
  </si>
  <si>
    <t>Эста 2-х дверный полоса горизонтальная (3 из 4) (6 Стекол Магнолия / 2 Черных стекла)</t>
  </si>
  <si>
    <t>Эста 2-х дверный полоса горизонтальная (3 из 4) (6 Черных стекол / 2 Белых стекла Диско)</t>
  </si>
  <si>
    <t>Эста 2-х дверный полоса горизонтальная (3 из 4) (6 Черных стекол / 2 Белых стекла)</t>
  </si>
  <si>
    <t>Эста 2-х дверный полоса горизонтальная (3 из 4) (6 Черных стекол / 2 Зеркала)</t>
  </si>
  <si>
    <t>Эста 2-х дверный полоса горизонтальная (3 из 4) (6 Черных стекол / 2 ЛДСП)</t>
  </si>
  <si>
    <t>Эста 2-х дверный полоса горизонтальная (3 из 4) (6 Черных стекол / 2 Стекла Лабиринт)</t>
  </si>
  <si>
    <t>Эста 2-х дверный полоса горизонтальная (3 из 4) (6 Черных стекол / 2 Стекла Магнолия)</t>
  </si>
  <si>
    <t>Эста 2-х дверный полоса горизонтальная (3 из 4) (6 Черных стекол / 2 Черных стекла Диско)</t>
  </si>
  <si>
    <t>Эста 2-х дверный полоса горизонтальная (3 из 4) (6 Черных стекол Диско / 2 Белых стекла Диско)</t>
  </si>
  <si>
    <t>Эста 2-х дверный полоса горизонтальная (3 из 4) (6 Черных стекол Диско / 2 Белых стекла)</t>
  </si>
  <si>
    <t>Эста 2-х дверный полоса горизонтальная (3 из 4) (6 Черных стекол Диско / 2 Зеркала)</t>
  </si>
  <si>
    <t>Эста 2-х дверный полоса горизонтальная (3 из 4) (6 Черных стекол Диско / 2 ЛДСП)</t>
  </si>
  <si>
    <t>Эста 2-х дверный полоса горизонтальная (3 из 4) (6 Черных стекол Диско / 2 Стекло Лабиринт)</t>
  </si>
  <si>
    <t>Эста 2-х дверный полоса горизонтальная (3 из 4) (6 Черных стекол Диско / 2 Стекло Магнолия)</t>
  </si>
  <si>
    <t>Эста 2-х дверный полоса горизонтальная (3 из 4) (6 Черных стекол Диско / 2 Черных стекла)</t>
  </si>
  <si>
    <t>Эста 2-х дверный Шашка (4 Белых стекла / 4 Белых стекла Диско)</t>
  </si>
  <si>
    <t>Эста 2-х дверный Шашка (4 Белых стекла / 4 Стекло Лабиринт)</t>
  </si>
  <si>
    <t>Эста 2-х дверный Шашка (4 Белых стекла / 4 Стекло Магнолия)</t>
  </si>
  <si>
    <t>Эста 2-х дверный Шашка (4 Белых стекла / 4 Черных стекла Диско)</t>
  </si>
  <si>
    <t>Эста 2-х дверный Шашка (4 Белых стекла / 4 Черных стекла)</t>
  </si>
  <si>
    <t>Эста 2-х дверный Шашка (4 Белых стекла Диско / 4 Стекла Лабиринт)</t>
  </si>
  <si>
    <t>Эста 2-х дверный Шашка (4 Белых стекла Диско / 4 Стекла Магнолия)</t>
  </si>
  <si>
    <t>Эста 2-х дверный Шашка (4 Зеркала / 4 Белых стекла Диско)</t>
  </si>
  <si>
    <t>Эста 2-х дверный Шашка (4 Зеркала / 4 Белых стекла)</t>
  </si>
  <si>
    <t>Эста 2-х дверный Шашка (4 Зеркала / 4 Стекла Лабиринт)</t>
  </si>
  <si>
    <t>Эста 2-х дверный Шашка (4 Зеркала / 4 Стекла Магнолия)</t>
  </si>
  <si>
    <t>Эста 2-х дверный Шашка (4 Зеркала / 4 Черных стекла Диско)</t>
  </si>
  <si>
    <t>Эста 2-х дверный Шашка (4 Зеркала / 4 Черных стекла)</t>
  </si>
  <si>
    <t>Эста 2-х дверный Шашка (4 ЛДСП / 4 Белых стекла Диско)</t>
  </si>
  <si>
    <t>Эста 2-х дверный Шашка (4 ЛДСП / 4 Белых стекла)</t>
  </si>
  <si>
    <t>Эста 2-х дверный Шашка (4 ЛДСП / 4 Зеркала)</t>
  </si>
  <si>
    <t>Эста 2-х дверный Шашка (4 ЛДСП / 4 Стекла Лабиринт)</t>
  </si>
  <si>
    <t>Эста 2-х дверный Шашка (4 ЛДСП / 4 Стекла Магнолия)</t>
  </si>
  <si>
    <t>Эста 2-х дверный Шашка (4 ЛДСП / 4 Стекло Барокко)</t>
  </si>
  <si>
    <t>Эста 2-х дверный Шашка (4 ЛДСП / 4 Черных стекла Диско)</t>
  </si>
  <si>
    <t>Эста 2-х дверный Шашка (4 ЛДСП / 4 Черных стекла)</t>
  </si>
  <si>
    <t>Эста 2-х дверный Шашка (4 Стекла Магнолия / 4 Стекла Лабиринт)</t>
  </si>
  <si>
    <t>Эста 2-х дверный Шашка (4 Черных стекла / 4 Белых стекла Диско)</t>
  </si>
  <si>
    <t>Эста 2-х дверный Шашка (4 Черных стекла / 4 Стекла Лабаринт)</t>
  </si>
  <si>
    <t>Эста 2-х дверный Шашка (4 Черных стекла / 4 Стекла Магнолия)</t>
  </si>
  <si>
    <t>Эста 2-х дверный Шашка (4 Черных стекла / 4 Черных стекла Диско)</t>
  </si>
  <si>
    <t>Эста 2-х дверный Шашка (4 Черных стекла Диско / 4 Белых стекла Диско)</t>
  </si>
  <si>
    <t>Эста 2-х дверный Шашка (4 Черных стекла Диско / 4 Стекла Лабиринт)</t>
  </si>
  <si>
    <t>Эста 2-х дверный Шашка (4 Черных стекла Диско / 4 Стекла Магнолия)</t>
  </si>
  <si>
    <t>Эста 3-х дверный Комби (6 Белых стекол / 6 Белых стекол Диско)</t>
  </si>
  <si>
    <t>Эста 3-х дверный Комби (6 Белых стекол / 6 Зеркал бронза)</t>
  </si>
  <si>
    <t>Эста 3-х дверный Комби (6 Белых стекол / 6 Зеркал)</t>
  </si>
  <si>
    <t>Эста 3-х дверный Комби (6 Белых стекол / 6 ЛДСП)</t>
  </si>
  <si>
    <t>Эста 3-х дверный Комби (6 Белых стекол / 6 Стекол Барокко)</t>
  </si>
  <si>
    <t>Эста 3-х дверный Комби (6 Белых стекол / 6 Стекол Лабиринт)</t>
  </si>
  <si>
    <t>Эста 3-х дверный Комби (6 Белых стекол / 6 Стекол Магнолия)</t>
  </si>
  <si>
    <t>Эста 3-х дверный Комби (6 Белых стекол / 6 Черных стекол Диско)</t>
  </si>
  <si>
    <t>Эста 3-х дверный Комби (6 Белых стекол / 6 Черных стекол)</t>
  </si>
  <si>
    <t>Эста 3-х дверный Комби (6 Белых стекол Диско / 6 Белых стекол)</t>
  </si>
  <si>
    <t>Эста 3-х дверный Комби (6 Белых стекол Диско / 6 Зеркал)</t>
  </si>
  <si>
    <t>Эста 3-х дверный Комби (6 Белых стекол Диско / 6 ЛДСП)</t>
  </si>
  <si>
    <t>Эста 3-х дверный Комби (6 Белых стекол Диско / 6 Стекол Лабиринт)</t>
  </si>
  <si>
    <t>Эста 3-х дверный Комби (6 Белых стекол Диско / 6 Стекол Магнолия)</t>
  </si>
  <si>
    <t>Эста 3-х дверный Комби (6 Белых стекол Диско / 6 Черных стекол Диско)</t>
  </si>
  <si>
    <t>Эста 3-х дверный Комби (6 Зеркал / 6 Белых стекол Диско)</t>
  </si>
  <si>
    <t>Эста 3-х дверный Комби (6 Зеркал / 6 Белых стекол)</t>
  </si>
  <si>
    <t>Эста 3-х дверный Комби (6 Зеркал / 6 ЛДСП)</t>
  </si>
  <si>
    <t>Эста 3-х дверный Комби (6 Зеркал / 6 Стекол Барокко)</t>
  </si>
  <si>
    <t>Эста 3-х дверный Комби (6 Зеркал / 6 Стекол Лабиринт)</t>
  </si>
  <si>
    <t>Эста 3-х дверный Комби (6 Зеркал / 6 Стекол Магнолия)</t>
  </si>
  <si>
    <t>Эста 3-х дверный Комби (6 Зеркал / 6 Черных стекол Диско)</t>
  </si>
  <si>
    <t>Эста 3-х дверный Комби (6 Зеркал / 6 Черных стекол)</t>
  </si>
  <si>
    <t>Эста 3-х дверный Комби (6 Зеркал бронза / 6 Белых стекол)</t>
  </si>
  <si>
    <t>Эста 3-х дверный Комби (6 Зеркал бронза / 6 ЛДСП)</t>
  </si>
  <si>
    <t>Эста 3-х дверный Комби (6 Зеркал бронза / 6 Стекол Лабиринт)</t>
  </si>
  <si>
    <t>Эста 3-х дверный Комби (6 Зеркал бронза / 6 Стекол Магнолия)</t>
  </si>
  <si>
    <t>Эста 3-х дверный Комби (6 Зеркал бронза / 6 Черных стекол)</t>
  </si>
  <si>
    <t>Эста 3-х дверный Комби (6 ЛДСП / 6 Белых стекол Диско)</t>
  </si>
  <si>
    <t>Эста 3-х дверный Комби (6 ЛДСП / 6 Белых стекол)</t>
  </si>
  <si>
    <t>Эста 3-х дверный Комби (6 ЛДСП / 6 Зеркал бронза)</t>
  </si>
  <si>
    <t>Эста 3-х дверный Комби (6 ЛДСП / 6 Зеркал)</t>
  </si>
  <si>
    <t>Эста 3-х дверный Комби (6 ЛДСП / 6 Стекол Барокко)</t>
  </si>
  <si>
    <t>Эста 3-х дверный Комби (6 ЛДСП / 6 Стекол Лабиринт)</t>
  </si>
  <si>
    <t>Эста 3-х дверный Комби (6 ЛДСП / 6 Стекол Магнолия)</t>
  </si>
  <si>
    <t>Эста 3-х дверный Комби (6 ЛДСП / 6 Черных стекол Диско)</t>
  </si>
  <si>
    <t>Эста 3-х дверный Комби (6 ЛДСП / 6 Черных стекол)</t>
  </si>
  <si>
    <t>Эста 3-х дверный Комби (6 Стекол Барокко / 6 Белых стекол)</t>
  </si>
  <si>
    <t>Эста 3-х дверный Комби (6 Стекол Барокко / 6 Зеркал)</t>
  </si>
  <si>
    <t>Эста 3-х дверный Комби (6 Стекол Барокко / 6 ЛДСП)</t>
  </si>
  <si>
    <t>Эста 3-х дверный Комби (6 Стекол Лабиринт / 6 Зеркал бронза)</t>
  </si>
  <si>
    <t>Эста 3-х дверный Комби (6 Стекол Лабиринт / 6 ЛДСП)</t>
  </si>
  <si>
    <t>Эста 3-х дверный Комби (6 Стекол Магнолия / 6 Зеркал бронза)</t>
  </si>
  <si>
    <t>Эста 3-х дверный Комби (6 Стекол Магнолия / 6 ЛДСП)</t>
  </si>
  <si>
    <t>Эста 3-х дверный Комби (6 Стекол Магнолия / 6 Стекол Лабиринт)</t>
  </si>
  <si>
    <t>Эста 3-х дверный Комби (6 Черных стекол / 6 Белых стекол Диско)</t>
  </si>
  <si>
    <t>Эста 3-х дверный Комби (6 Черных стекол / 6 Зеркал бронза)</t>
  </si>
  <si>
    <t>Эста 3-х дверный Комби (6 Черных стекол / 6 Зеркал)</t>
  </si>
  <si>
    <t>Эста 3-х дверный Комби (6 Черных стекол / 6 ЛДСП)</t>
  </si>
  <si>
    <t>Эста 3-х дверный Комби (6 Черных стекол / 6 Стекол Лабиринт)</t>
  </si>
  <si>
    <t>Эста 3-х дверный Комби (6 Черных стекол / 6 Стекол Магнолия)</t>
  </si>
  <si>
    <t>Эста 3-х дверный Комби (6 Черных стекол / 6 Черных стекол Диско)</t>
  </si>
  <si>
    <t>Эста 3-х дверный Комби (6 Черных стекол Диско / 6 Зеркал)</t>
  </si>
  <si>
    <t>Эста 3-х дверный Комби (6 Черных стекол Диско / 6 ЛДСП)</t>
  </si>
  <si>
    <t>Эста 3-х дверный Комби (6 Черных стекол Диско / 6 Стекол Лабиринт)</t>
  </si>
  <si>
    <t>Эста 3-х дверный Комби (6 Черных стекол Диско / 6 Стекол Магнолия)</t>
  </si>
  <si>
    <t>Эста 3-х дверный Комби (6 Черных стекол Диско / 6 Черных стекол)</t>
  </si>
  <si>
    <t>Эста 3-х дверный Медиум (4 посредине) (4 Белых стекла / 8 Белых стекол Диско)</t>
  </si>
  <si>
    <t>Эста 3-х дверный Медиум (4 посредине) (4 Белых стекла / 8 Зеркал бронза)</t>
  </si>
  <si>
    <t>Эста 3-х дверный Медиум (4 посредине) (4 Белых стекла / 8 Зеркал)</t>
  </si>
  <si>
    <t>Эста 3-х дверный Медиум (4 посредине) (4 Белых стекла / 8 ЛДСП)</t>
  </si>
  <si>
    <t>Эста 3-х дверный Медиум (4 посредине) (4 Белых стекла / 8 Стекол Барокко)</t>
  </si>
  <si>
    <t>Эста 3-х дверный Медиум (4 посредине) (4 Белых стекла / 8 Стекол Лабиринт)</t>
  </si>
  <si>
    <t>Эста 3-х дверный Медиум (4 посредине) (4 Белых стекла / 8 Стекол Магнолия)</t>
  </si>
  <si>
    <t>Эста 3-х дверный Медиум (4 посредине) (4 Белых стекла / 8 Черных стекол Диско)</t>
  </si>
  <si>
    <t>Эста 3-х дверный Медиум (4 посредине) (4 Белых стекла / 8 Черных стекол)</t>
  </si>
  <si>
    <t>Эста 3-х дверный Медиум (4 посредине) (4 Белых стекла Диско / 8 Белых стекол)</t>
  </si>
  <si>
    <t>Эста 3-х дверный Медиум (4 посредине) (4 Белых стекла Диско / 8 Зеркал бронза Квадрат)</t>
  </si>
  <si>
    <t>Эста 3-х дверный Медиум (4 посредине) (4 Белых стекла Диско / 8 Зеркал Квадрат)</t>
  </si>
  <si>
    <t>Эста 3-х дверный Медиум (4 посредине) (4 Белых стекла Диско / 8 Зеркал)</t>
  </si>
  <si>
    <t>Эста 3-х дверный Медиум (4 посредине) (4 Белых стекла Диско / 8 ЛДСП)</t>
  </si>
  <si>
    <t>Эста 3-х дверный Медиум (4 посредине) (4 Белых стекла Диско / 8 Стекол Лабиринт)</t>
  </si>
  <si>
    <t>Эста 3-х дверный Медиум (4 посредине) (4 Белых стекла Диско / 8 Стекол Магнолия)</t>
  </si>
  <si>
    <t>Эста 3-х дверный Медиум (4 посредине) (4 Белых стекла Диско / 8 Черных стекол Диско)</t>
  </si>
  <si>
    <t>Эста 3-х дверный Медиум (4 посредине) (4 Зеркала / 8 Белых стекол Диско)</t>
  </si>
  <si>
    <t>Эста 3-х дверный Медиум (4 посредине) (4 Зеркала / 8 Белых стекол)</t>
  </si>
  <si>
    <t>Эста 3-х дверный Медиум (4 посредине) (4 Зеркала / 8 ЛДСП)</t>
  </si>
  <si>
    <t>Эста 3-х дверный Медиум (4 посредине) (4 Зеркала / 8 Стекол Барокко)</t>
  </si>
  <si>
    <t>Эста 3-х дверный Медиум (4 посредине) (4 Зеркала / 8 Стекол Лабиринт)</t>
  </si>
  <si>
    <t>Эста 3-х дверный Медиум (4 посредине) (4 Зеркала / 8 Стекол Магнолия)</t>
  </si>
  <si>
    <t>Эста 3-х дверный Медиум (4 посредине) (4 Зеркала / 8 Черных стекол Диско)</t>
  </si>
  <si>
    <t>Эста 3-х дверный Медиум (4 посредине) (4 Зеркала / 8 Черных стекол)</t>
  </si>
  <si>
    <t>Эста 3-х дверный Медиум (4 посредине) (4 Зеркала бронза / 8 Белых стекол)</t>
  </si>
  <si>
    <t>Эста 3-х дверный Медиум (4 посредине) (4 Зеркала бронза / 8 ЛДСП)</t>
  </si>
  <si>
    <t>Эста 3-х дверный Медиум (4 посредине) (4 Зеркала бронза / 8 Стекол Лабиринт)</t>
  </si>
  <si>
    <t>Эста 3-х дверный Медиум (4 посредине) (4 Зеркала бронза / 8 Стекол Магнолия)</t>
  </si>
  <si>
    <t>Эста 3-х дверный Медиум (4 посредине) (4 Зеркала бронза / 8 Черных стекол)</t>
  </si>
  <si>
    <t>Эста 3-х дверный Медиум (4 посредине) (4 ЛДСП / 8 Белых стекол Диско)</t>
  </si>
  <si>
    <t>Эста 3-х дверный Медиум (4 посредине) (4 ЛДСП / 8 Белых стекол)</t>
  </si>
  <si>
    <t>Эста 3-х дверный Медиум (4 посредине) (4 ЛДСП / 8 Зеркал бронза)</t>
  </si>
  <si>
    <t>Эста 3-х дверный Медиум (4 посредине) (4 ЛДСП / 8 Зеркал)</t>
  </si>
  <si>
    <t>Эста 3-х дверный Медиум (4 посредине) (4 ЛДСП / 8 Стекол Барокко)</t>
  </si>
  <si>
    <t>Эста 3-х дверный Медиум (4 посредине) (4 ЛДСП / 8 Стекол Лабиринт)</t>
  </si>
  <si>
    <t>Эста 3-х дверный Медиум (4 посредине) (4 ЛДСП / 8 Стекол Магнолия)</t>
  </si>
  <si>
    <t>Эста 3-х дверный Медиум (4 посредине) (4 ЛДСП / 8 Черных стекол Диско)</t>
  </si>
  <si>
    <t>Эста 3-х дверный Медиум (4 посредине) (4 ЛДСП / 8 Черных стекол)</t>
  </si>
  <si>
    <t>Эста 3-х дверный Медиум (4 посредине) (4 Стекла Барокко / 8 Белых стекол)</t>
  </si>
  <si>
    <t>Эста 3-х дверный Медиум (4 посредине) (4 Стекла Барокко / 8 Зеркал бронза Квадрат)</t>
  </si>
  <si>
    <t>Эста 3-х дверный Медиум (4 посредине) (4 Стекла Барокко / 8 Зеркал Квадрат)</t>
  </si>
  <si>
    <t>Эста 3-х дверный Медиум (4 посредине) (4 Стекла Барокко / 8 Зеркал)</t>
  </si>
  <si>
    <t>Эста 3-х дверный Медиум (4 посредине) (4 Стекла Барокко / 8 ЛДСП)</t>
  </si>
  <si>
    <t>Эста 3-х дверный Медиум (4 посредине) (4 Стекла Лабиринт / 8 Зеркал бронза)</t>
  </si>
  <si>
    <t>Эста 3-х дверный Медиум (4 посредине) (4 Стекла Магнолия / 8 Зеркал бронза)</t>
  </si>
  <si>
    <t>Эста 3-х дверный Медиум (4 посредине) (4 Стекла Магнолия / 8 ЛДСП)</t>
  </si>
  <si>
    <t>Эста 3-х дверный Медиум (4 посредине) (4 Стекла Магнолия / 8 Стекол Лабиринт)</t>
  </si>
  <si>
    <t>Эста 3-х дверный Медиум (4 посредине) (4 Стекол Лабиринт / 8 ЛДСП)</t>
  </si>
  <si>
    <t>Эста 3-х дверный Медиум (4 посредине) (4 Черных стекла / 8 Белых стекол Диско)</t>
  </si>
  <si>
    <t>Эста 3-х дверный Медиум (4 посредине) (4 Черных стекла / 8 Белых стекол)</t>
  </si>
  <si>
    <t>Эста 3-х дверный Медиум (4 посредине) (4 Черных стекла / 8 Зеркал бронза)</t>
  </si>
  <si>
    <t>Эста 3-х дверный Медиум (4 посредине) (4 Черных стекла / 8 Зеркал)</t>
  </si>
  <si>
    <t>Эста 3-х дверный Медиум (4 посредине) (4 Черных стекла / 8 ЛДСП)</t>
  </si>
  <si>
    <t>Эста 3-х дверный Медиум (4 посредине) (4 Черных стекла / 8 Стекол Лабиринт)</t>
  </si>
  <si>
    <t>Эста 3-х дверный Медиум (4 посредине) (4 Черных стекла / 8 Стекол Магнолия)</t>
  </si>
  <si>
    <t>Эста 3-х дверный Медиум (4 посредине) (4 Черных стекла / 8 Черных стекол Диско)</t>
  </si>
  <si>
    <t>Эста 3-х дверный Медиум (4 посредине) (4 Черных стекла Диско / 8 Зеркал бронза Квадрат)</t>
  </si>
  <si>
    <t>Эста 3-х дверный Медиум (4 посредине) (4 Черных стекла Диско / 8 Зеркал Квадрат)</t>
  </si>
  <si>
    <t>Эста 3-х дверный Медиум (4 посредине) (4 Черных стекла Диско / 8 Зеркал)</t>
  </si>
  <si>
    <t>Эста 3-х дверный Медиум (4 посредине) (4 Черных стекла Диско / 8 ЛДСП)</t>
  </si>
  <si>
    <t>Эста 3-х дверный Медиум (4 посредине) (4 Черных стекла Диско / 8 Стекол Лабиринт)</t>
  </si>
  <si>
    <t>Эста 3-х дверный Медиум (4 посредине) (4 Черных стекла Диско / 8 Стекол Магнолия)</t>
  </si>
  <si>
    <t>Эста 3-х дверный Медиум (4 посредине) (4 Черных стекла Диско / 8 Черных стекол)</t>
  </si>
  <si>
    <t>Эста 3-х дверный Цельный (12 Белых стекол диско)</t>
  </si>
  <si>
    <t>Эста 3-х дверный Цельный (12 Белых стекол)</t>
  </si>
  <si>
    <t>Эста 3-х дверный Цельный (12 Зеркал бронза)</t>
  </si>
  <si>
    <t>Эста 3-х дверный Цельный (12 Зеркал)</t>
  </si>
  <si>
    <t>Эста 3-х дверный Цельный (12 ЛДСП)</t>
  </si>
  <si>
    <t>Эста 3-х дверный Цельный (12 Стекол Барокко)</t>
  </si>
  <si>
    <t>Эста 3-х дверный Цельный (12 Стекол Лабиринт)</t>
  </si>
  <si>
    <t>Эста 3-х дверный Цельный (12 Стекол Магнолия)</t>
  </si>
  <si>
    <t>Эста 3-х дверный Цельный (12 Черных стекол диско)</t>
  </si>
  <si>
    <t>Эста 3-х дверный Цельный (12 Черных стекол)</t>
  </si>
  <si>
    <t>Эста 3-х дверный Шашка (6 Белых стекол / 6 Белых стекол Диско)</t>
  </si>
  <si>
    <t>Эста 3-х дверный Шашка (6 Белых стекол / 6 Стекол Лабиринт)</t>
  </si>
  <si>
    <t>Эста 3-х дверный Шашка (6 Белых стекол / 6 Стекол Магнолия)</t>
  </si>
  <si>
    <t>Эста 3-х дверный Шашка (6 Белых стекол / 6 Черных стекол Диско)</t>
  </si>
  <si>
    <t>Эста 3-х дверный Шашка (6 Белых стекол / 6 Черных стекол)</t>
  </si>
  <si>
    <t>Эста 3-х дверный Шашка (6 Белых стекол Диско / 6 Стекол Лабиринт)</t>
  </si>
  <si>
    <t>Эста 3-х дверный Шашка (6 Белых стекол Диско / 6 Стекол Магнолия)</t>
  </si>
  <si>
    <t>Эста 3-х дверный Шашка (6 Белых стекол Диско / 6 Черных стекол Диско)</t>
  </si>
  <si>
    <t>Эста 3-х дверный Шашка (6 Зеркал / 6 Белых стекол Диско)</t>
  </si>
  <si>
    <t>Эста 3-х дверный Шашка (6 Зеркал / 6 Белых стекол)</t>
  </si>
  <si>
    <t>Эста 3-х дверный Шашка (6 Зеркал / 6 Стекол Лабиринт)</t>
  </si>
  <si>
    <t>Эста 3-х дверный Шашка (6 Зеркал / 6 Стекол Магнолия)</t>
  </si>
  <si>
    <t>Эста 3-х дверный Шашка (6 Зеркал / 6 Черных стекол Диско)</t>
  </si>
  <si>
    <t>Эста 3-х дверный Шашка (6 Зеркал / 6 Черных стекол)</t>
  </si>
  <si>
    <t>Эста 3-х дверный Шашка (6 ЛДСП / 6 Белых стекол Диско)</t>
  </si>
  <si>
    <t>Эста 3-х дверный Шашка (6 ЛДСП / 6 Белых стекол)</t>
  </si>
  <si>
    <t>Эста 3-х дверный Шашка (6 ЛДСП / 6 Зеркал)</t>
  </si>
  <si>
    <t>Эста 3-х дверный Шашка (6 ЛДСП / 6 стекла Барокко)</t>
  </si>
  <si>
    <t>Эста 3-х дверный Шашка (6 ЛДСП / 6 Стекол Лабиринт)</t>
  </si>
  <si>
    <t>Эста 3-х дверный Шашка (6 ЛДСП / 6 Стекол Магнолия)</t>
  </si>
  <si>
    <t>Эста 3-х дверный Шашка (6 ЛДСП / 6 Черных стекол Диско)</t>
  </si>
  <si>
    <t>Эста 3-х дверный Шашка (6 ЛДСП / 6 Черных стекол)</t>
  </si>
  <si>
    <t>Эста 3-х дверный Шашка (6 Стекол Магнолия / 6 Стекол Лабиринт)</t>
  </si>
  <si>
    <t>Эста 3-х дверный Шашка (6 Черных стекол / 6 Белых стекол Диско)</t>
  </si>
  <si>
    <t>Эста 3-х дверный Шашка (6 Черных стекол / 6 Стекол Лабиринт)</t>
  </si>
  <si>
    <t>Эста 3-х дверный Шашка (6 Черных стекол / 6 Стекол Магнолия)</t>
  </si>
  <si>
    <t>Эста 3-х дверный Шашка (6 Черных стекол / 6 Черных стекол Диско)</t>
  </si>
  <si>
    <t>Эста 3-х дверный Шашка (6 Черных стекол Диско / 6 Стекол Лабиринт)</t>
  </si>
  <si>
    <t>Эста 3-х дверный Шашка (6 Черных стекол Диско / 6 Стекол Магнолия)</t>
  </si>
  <si>
    <t>Угловой Экспресс</t>
  </si>
  <si>
    <t>Угловой Распашной</t>
  </si>
  <si>
    <t>Экспресс Угловой</t>
  </si>
  <si>
    <t>Локер</t>
  </si>
  <si>
    <t>Локер 2-х дверный (Распашной)</t>
  </si>
  <si>
    <t>Новый вариант</t>
  </si>
  <si>
    <t>Вариант исполнения шкафа</t>
  </si>
  <si>
    <t>Белый снег</t>
  </si>
  <si>
    <t>Дуб табачный</t>
  </si>
  <si>
    <t>осн.</t>
  </si>
  <si>
    <t>Номенклатура</t>
  </si>
  <si>
    <t>530</t>
  </si>
  <si>
    <t>1</t>
  </si>
  <si>
    <t>Комплект доп. полок "Локер"- (ШК 800)</t>
  </si>
  <si>
    <t>2200</t>
  </si>
  <si>
    <t>Ручка "Локер"</t>
  </si>
  <si>
    <t>Фурнитура Локер</t>
  </si>
  <si>
    <t>(пусто)</t>
  </si>
  <si>
    <t>Упаковка фурнитуры "Локер" - Wing LIne/(ШК800)</t>
  </si>
  <si>
    <t>Упаковка фурнитуры "Локер" - Wing LIne(Push to open)/(ШК800)_левый</t>
  </si>
  <si>
    <t>Упаковка фурнитуры "Локер" - Wing LIne(Push to open)/(ШК800)_правый</t>
  </si>
  <si>
    <t/>
  </si>
  <si>
    <t>580</t>
  </si>
  <si>
    <t>300</t>
  </si>
  <si>
    <t>2400</t>
  </si>
  <si>
    <t>250</t>
  </si>
  <si>
    <t>Стеллаж</t>
  </si>
  <si>
    <t>350</t>
  </si>
  <si>
    <t>355</t>
  </si>
  <si>
    <t>1400</t>
  </si>
  <si>
    <t>709</t>
  </si>
  <si>
    <t>1752</t>
  </si>
  <si>
    <t>730</t>
  </si>
  <si>
    <t>473</t>
  </si>
  <si>
    <t>Стол приставной "Ник" 473х300х580</t>
  </si>
  <si>
    <t>Дверь-купе</t>
  </si>
  <si>
    <t>Белый снег/Белый профиль</t>
  </si>
  <si>
    <t>2252</t>
  </si>
  <si>
    <t>583</t>
  </si>
  <si>
    <t>683</t>
  </si>
  <si>
    <t>783</t>
  </si>
  <si>
    <t>883</t>
  </si>
  <si>
    <t>2452</t>
  </si>
  <si>
    <t>2552</t>
  </si>
  <si>
    <t>Белый снег/Серебро</t>
  </si>
  <si>
    <t>Бетон Чикаго светлый/Серебро</t>
  </si>
  <si>
    <t>Бетон/Серебро</t>
  </si>
  <si>
    <t>Венге/Серебро</t>
  </si>
  <si>
    <t>Дуб Крафт табачный/Бронза</t>
  </si>
  <si>
    <t>Осн/Белый профиль</t>
  </si>
  <si>
    <t>Осн/Бронза</t>
  </si>
  <si>
    <t>Осн/Серебро</t>
  </si>
  <si>
    <t>Серый диамант/Серебро</t>
  </si>
  <si>
    <t>Ясень Шимо св./Серебро</t>
  </si>
  <si>
    <t>Ясень Шимо светлый/Серебро</t>
  </si>
  <si>
    <t>Направляющие</t>
  </si>
  <si>
    <t>Белый</t>
  </si>
  <si>
    <t>1180</t>
  </si>
  <si>
    <t>1380</t>
  </si>
  <si>
    <t>1580</t>
  </si>
  <si>
    <t>1760</t>
  </si>
  <si>
    <t>2050</t>
  </si>
  <si>
    <t>2700</t>
  </si>
  <si>
    <t>Бронза</t>
  </si>
  <si>
    <t>Серебро</t>
  </si>
  <si>
    <t>Экспресс 2-х дверный Мини</t>
  </si>
  <si>
    <t>660</t>
  </si>
  <si>
    <t>900</t>
  </si>
  <si>
    <t>1000</t>
  </si>
  <si>
    <t>Вид декор стекла</t>
  </si>
  <si>
    <t>Лабиринт, Лабиринт бронза, Диско черное, Диско белое</t>
  </si>
  <si>
    <t>Декор стекло / ДСП</t>
  </si>
  <si>
    <t>Декор стекло / Зерк.</t>
  </si>
  <si>
    <t>Декор стекло/Стекло (Черн./Бел.)</t>
  </si>
  <si>
    <t>Декор стекло / Декор стекло</t>
  </si>
  <si>
    <t>(2я из 4х) (6 стекол (Черн./Бел.) / 2 Декор стекла</t>
  </si>
  <si>
    <t>(2я из 4х) (6 Декор стекол / 2 Стекла (Черн./Бел.)</t>
  </si>
  <si>
    <t>(2я из 4х) (6 Декор стекол / 2 Зерк</t>
  </si>
  <si>
    <t>(2я из 4х) (6 Декор стекол / 2 ДСП</t>
  </si>
  <si>
    <t>(2я из 4х) (6 Декор стекол / 2 Декор стекла</t>
  </si>
  <si>
    <t>(2я из 4х) (6 Зерк / 2 Декор стекла</t>
  </si>
  <si>
    <t>(2я из 4х) (6 ДСП /   2 Декор стекла</t>
  </si>
  <si>
    <t>Декор стекло/Зерк</t>
  </si>
  <si>
    <t>Декор стекло/ДСП</t>
  </si>
  <si>
    <t>Декор стекло/Декор стекло</t>
  </si>
  <si>
    <t xml:space="preserve">4 по центру                   4 Стекла (Черн./Бел.) / 8 Декор стекол </t>
  </si>
  <si>
    <t>4 по центру                  4 Декор стекла /                 8 Стекол (Черн./Бел.)</t>
  </si>
  <si>
    <t>4 по центру                  4 Декор стекла /                 8 Зерк</t>
  </si>
  <si>
    <t>4 по центру                  4 Декор стекла /                 8 Зерк бронза</t>
  </si>
  <si>
    <t>4 по центру                  4 Декор стекла /                 8 ДСП</t>
  </si>
  <si>
    <t>4 по центру                  4 Декор стекла /                 8 Декор стекол</t>
  </si>
  <si>
    <t>4 по центру                  4 зерк /                         8 Декор стекол</t>
  </si>
  <si>
    <t>4 по центру                  4 ДСП /                            8 Декор стекол</t>
  </si>
  <si>
    <t>12 Декор стекол</t>
  </si>
  <si>
    <t>Оптовый</t>
  </si>
  <si>
    <t>Оптовый прайс базовой территории на шкафы-купе</t>
  </si>
  <si>
    <t>Менеджер по закупкам</t>
  </si>
  <si>
    <t>Региональный менеджер</t>
  </si>
  <si>
    <t>Хит *</t>
  </si>
  <si>
    <t>* Модуль с выдвижными ящиками не устанавливается</t>
  </si>
  <si>
    <t>Комплект доп. полок "Локер"- (ШК 600)</t>
  </si>
  <si>
    <t>Комплект доп. полок "Локер"- (ШК 1000)</t>
  </si>
  <si>
    <t>Венге, Ясень шимо светлый</t>
  </si>
  <si>
    <t>Упаковка фурнитуры "Локер" - Wing LIne/(ШК600)</t>
  </si>
  <si>
    <t>Упаковка фурнитуры "Локер" - Wing LIne(Push to open)/(ШК1000)_левый</t>
  </si>
  <si>
    <t>Упаковка фурнитуры "Локер" - Wing LIne(Push to open)/(ШК1000)_правый</t>
  </si>
  <si>
    <t>Упаковка фурнитуры "Локер" - Wing LIne(Push to open)/(ШК600)_левый</t>
  </si>
  <si>
    <t>Упаковка фурнитуры "Локер" - Wing LIne(Push to open)/(ШК600)_правый</t>
  </si>
  <si>
    <t>Упаковка фурнитуры "Локер" - Wing LIne/(ШК1000)</t>
  </si>
  <si>
    <t>* Возможно установить только 1 модуль</t>
  </si>
  <si>
    <t>Модуль с ящиками *</t>
  </si>
  <si>
    <t>Складной</t>
  </si>
  <si>
    <t>Локер 2-х дверный (Гармошка)</t>
  </si>
  <si>
    <t>Складной + Push to move</t>
  </si>
  <si>
    <t>525 глубина</t>
  </si>
  <si>
    <t>Высота 1900</t>
  </si>
  <si>
    <t>Белый снег, Бетон Чикаго светлый, Венге, Ясень Шимо светлый, Серый диамант, Ясень Анкор светлый</t>
  </si>
  <si>
    <t xml:space="preserve">Белый снег/Белый профиль, 
Крафт Табачный/Бронза профиль                                               Ясень Анкор светлый (Белый/Бронза профиль)                                         </t>
  </si>
  <si>
    <t>Ясень Анкор светлый/Бронза</t>
  </si>
  <si>
    <t>Ясень Анкор светлый/Серебро</t>
  </si>
  <si>
    <t>Ясень Анкор светлый/Шампань</t>
  </si>
  <si>
    <t>Ясень Анкор светлый/Черный матовый</t>
  </si>
  <si>
    <t>Ясень Анкор светлый/Белый</t>
  </si>
  <si>
    <t>Компановка корпуса</t>
  </si>
  <si>
    <t>Локер 2-х дверный (Гармошка) с системой Push to Move/Левый)</t>
  </si>
  <si>
    <t>Локер 2-х дверный (Гармошка) с системой Push to Move/Правый)</t>
  </si>
  <si>
    <t>Экспресс Мини</t>
  </si>
  <si>
    <t xml:space="preserve">Белый снег/Белый профиль, 
Крафт Табачный/Бронза профиль                                                                                         Ясень Анкор светлый (Белый/Бронза/Черный профиль)                                         </t>
  </si>
  <si>
    <t>Профиль Бронза/Белый/Черный</t>
  </si>
  <si>
    <t>Черный матовый</t>
  </si>
  <si>
    <t>2-х дверный купе</t>
  </si>
  <si>
    <t>Универсальные дополнения</t>
  </si>
  <si>
    <t>2300</t>
  </si>
  <si>
    <t>505</t>
  </si>
  <si>
    <t>Модуль универсальный - с выдвижными ящиками/576х388х471_Секция 600х600</t>
  </si>
  <si>
    <t>Модуль универсальный - с выдвижными ящиками/676х388х336_Секция 700х440</t>
  </si>
  <si>
    <t>Модуль универсальный - с выдвижными ящиками/676х388х471_Секция 700х600</t>
  </si>
  <si>
    <t>Модуль универсальный - с выдвижными ящиками/776х388х336_Секция 800х440</t>
  </si>
  <si>
    <t>Модуль универсальный - с выдвижными ящиками/776х388х471_Секция 800х600</t>
  </si>
  <si>
    <t>Модуль универсальный - с выдвижными ящиками/476х388х336_Секция 500х440</t>
  </si>
  <si>
    <t>Модуль универсальный - с выдвижными ящиками/476х388х471_Секция 500х600</t>
  </si>
  <si>
    <t>Модуль универсальный - с выдвижными ящиками/576х388х336_Секция 600х440</t>
  </si>
  <si>
    <t>Модуль универсальный - с выдвижными ящиками/976х388х471_Секция 1000х600</t>
  </si>
  <si>
    <t>3-х дверный купе</t>
  </si>
  <si>
    <t>Стеллаж "Ник-3" куб 4 ячейки 709х301х700</t>
  </si>
  <si>
    <t>301</t>
  </si>
  <si>
    <t>Стеллаж "Ник-3" 8 ячеек 709х301х1400</t>
  </si>
  <si>
    <t>Стеллаж "Ник-3" куб 1 ячейка 355х301х350</t>
  </si>
  <si>
    <t>Стеллаж "Ник-3" 4 ячейки 355х301х1400</t>
  </si>
  <si>
    <t>Локер 2-х дверный (Распашной с белым стеклом)</t>
  </si>
  <si>
    <t>Локер 2-х дверный (Распашной с черным стеклом)</t>
  </si>
  <si>
    <t>Локер 2-х дверный ("Гармошка" с белым стеклом)</t>
  </si>
  <si>
    <t>Локер 2-х дверный ("Гармошка" с черным стеклом)</t>
  </si>
  <si>
    <t>Угловой терминал "Универсальный" 350х440х2200</t>
  </si>
  <si>
    <t>Угловой терминал "Универсальный" 350х440х2200_Белое стекло</t>
  </si>
  <si>
    <t>Угловой терминал "Универсальный" 350х440х2400</t>
  </si>
  <si>
    <t>Угловой терминал "Универсальный" 350х440х2400_Белое стекло</t>
  </si>
  <si>
    <t>Угловой терминал "Универсальный" 350х505х2300</t>
  </si>
  <si>
    <t>Угловой терминал "Универсальный" 350х505х2300_Белое стекло</t>
  </si>
  <si>
    <t>Угловой терминал "Универсальный" 350х600х2200</t>
  </si>
  <si>
    <t>Угловой терминал "Универсальный" 350х600х2200_Белое стекло</t>
  </si>
  <si>
    <t>Угловой терминал "Универсальный" 350х600х2400</t>
  </si>
  <si>
    <t>Угловой терминал "Универсальный" 350х600х2400_Белое стекло</t>
  </si>
  <si>
    <t>без вставки</t>
  </si>
  <si>
    <t>с вставкой</t>
  </si>
  <si>
    <t>Признак вставки</t>
  </si>
  <si>
    <t xml:space="preserve">с вставкой    (Черное/Белое стекло, Зеркало) </t>
  </si>
  <si>
    <t>Угловой терминал (новый)</t>
  </si>
  <si>
    <t xml:space="preserve">с вставкой(Черное/Белое стекло, Зеркало) </t>
  </si>
  <si>
    <t>Стекло(белое/черное)</t>
  </si>
  <si>
    <t>355х301х350</t>
  </si>
  <si>
    <t>709х301х700</t>
  </si>
  <si>
    <t>355х301х1400</t>
  </si>
  <si>
    <t>709х301х1400</t>
  </si>
  <si>
    <t>Белый снег, Дуб Бардолино, Венге Мали</t>
  </si>
  <si>
    <t>Наименование</t>
  </si>
  <si>
    <t>Корпус</t>
  </si>
  <si>
    <t>Угловой корпус</t>
  </si>
  <si>
    <t>Прямая гардеробная</t>
  </si>
  <si>
    <t>Угловая гардеробная</t>
  </si>
  <si>
    <t>3896 
(1952*1944)</t>
  </si>
  <si>
    <t>Доп. полки</t>
  </si>
  <si>
    <r>
      <t xml:space="preserve">Модуль с ящиками 
</t>
    </r>
    <r>
      <rPr>
        <sz val="9"/>
        <rFont val="Bahnschrift SemiBold"/>
        <family val="2"/>
        <charset val="204"/>
      </rPr>
      <t>(возможно установить только 1 модуль)</t>
    </r>
  </si>
  <si>
    <t>Стандарт</t>
  </si>
  <si>
    <t>Доп. Полки + Модуль</t>
  </si>
  <si>
    <t>Общий итог</t>
  </si>
  <si>
    <t>1945</t>
  </si>
  <si>
    <t>507</t>
  </si>
  <si>
    <t>525</t>
  </si>
  <si>
    <t>955</t>
  </si>
  <si>
    <t>1955</t>
  </si>
  <si>
    <t>400</t>
  </si>
  <si>
    <t>1200</t>
  </si>
  <si>
    <t>1800</t>
  </si>
  <si>
    <t>Комплект дверей шкафа распашного "Локер" - ДСП/2200х1008 (ШК 1000)</t>
  </si>
  <si>
    <t>Комплект дверей шкафа распашного "Локер" - ДСП/2200х608 (ШК 600)</t>
  </si>
  <si>
    <t>Комплект дверей шкафа распашного "Локер" - ДСП/2200х808 (ШК 800)</t>
  </si>
  <si>
    <t>Комплект дверей шкафа складного "Локер" - ДСП/2200х1008 (ШК 1000)</t>
  </si>
  <si>
    <t>Комплект дверей шкафа складного "Локер" - ДСП/2200х608 (ШК 600)</t>
  </si>
  <si>
    <t>Комплект дверей шкафа складного "Локер" - ДСП/2200х808 (ШК 800)</t>
  </si>
  <si>
    <t>Угловая гардеробная система "Локер" (2200х1955х1945)</t>
  </si>
  <si>
    <t>Упаковка фурнитуры "Локер" - Распашной/(ШК600)</t>
  </si>
  <si>
    <t>Дверь шкафа распашного "Локер" - ДСП/2200х608 (ШК 600)</t>
  </si>
  <si>
    <t>Система доводчиков универсальная 1-дверная</t>
  </si>
  <si>
    <t>Осн</t>
  </si>
  <si>
    <t>Упаковка фурнитуры "Локер" - Угловой/(ШК955)</t>
  </si>
  <si>
    <t>Доводчики</t>
  </si>
  <si>
    <t>Комплект доводчиков SS EM TOPLINE L, 2 дв. открывание (ХЕТТИХ)</t>
  </si>
  <si>
    <t>Комплект доводчиков SS EM TOPLINE L, 3 дв. открывание (ХЕТТИХ)</t>
  </si>
  <si>
    <t>Комплект доводчиков TOPLINE М для 2 дв. шкафа</t>
  </si>
  <si>
    <t>Комплект доводчиков TOPLINE М для 3 дв. шкафа</t>
  </si>
  <si>
    <t>Комплект Silent System, на открывание, без регулировки, 2 двери, 50кг, Topline L</t>
  </si>
  <si>
    <t>Комплект Silent System, на закрывание, за профилем, 2 двери, 25 кг, Topline M</t>
  </si>
  <si>
    <t>Комплект Silent System, на открывание, без регулировки, 3/4 двери, 50кг, Topline L</t>
  </si>
  <si>
    <t>ДСП/Стекло (Черн./Бел./Фисташка/Хаки/Пудра)</t>
  </si>
  <si>
    <t>Зекр./Стекло (Черн./Бел./Фисташка/Хаки/Пудра)</t>
  </si>
  <si>
    <t>Стекло (Черн./Бел./Фисташка/Хаки/Пудра)</t>
  </si>
  <si>
    <t>2 Стекла (Черн./Бел./Фисташка/Хаки/Пудра) /ДСП</t>
  </si>
  <si>
    <t>2 Зерк./Стело (Черн./Бел./Фисташка/Хаки/Пудра)</t>
  </si>
  <si>
    <t>2 Стекла (Черн./Бел./Фисташка/Хаки/Пудра) /Зерк.</t>
  </si>
  <si>
    <t>3 Стекло (Черн./Бел./Фисташка/Хаки/Пудра)</t>
  </si>
  <si>
    <t>2 ДСП/
Стекло (Черн./Бел./Фисташка/Хаки/Пудра)</t>
  </si>
  <si>
    <t>Зерк./Стекло (Черн./Бел./Фисташка/Хаки/Пудра)</t>
  </si>
  <si>
    <t>2 ДСП/Стекло (Черн./Бел./Фисташка/Хаки/Пудра)</t>
  </si>
  <si>
    <t>2 Стекло (Черн./Бел./Фисташка/Хаки/Пудра)
/ДСП</t>
  </si>
  <si>
    <t>Комби ДСП/Стекло (Черн./Бел./Фисташка/Хаки/Пудра)</t>
  </si>
  <si>
    <t>2 Зерк./Стекло (Черн./Бел./Фисташка/Хаки/Пудра)</t>
  </si>
  <si>
    <t>2 Стекла (Черн./Бел./Фисташка/Хаки/Пудра)
/Зеркало</t>
  </si>
  <si>
    <t>Комби Стекло (Черн./Бел./Фисташка/Хаки/Пудра)/
Зерк.</t>
  </si>
  <si>
    <t>3 Стекла (Черн./Бел./Фисташка/Хаки/Пудра)</t>
  </si>
  <si>
    <t>3 Фотопечать
(Калейдоскоп, Ленты, Квадраты, Шары., Шелк)</t>
  </si>
  <si>
    <t>Прайм 2-х дверный (Фото - Калейдоскоп)</t>
  </si>
  <si>
    <t>Прайм 2-х дверный (Фото - Плетение)</t>
  </si>
  <si>
    <t>Прайм 2-х дверный (Фото - Ромбы)</t>
  </si>
  <si>
    <t>Прайм 2-х дверный (Фото - Шары пастельные)</t>
  </si>
  <si>
    <t>Прайм 2-х дверный (Фото - Шелк)</t>
  </si>
  <si>
    <t>Прайм 3-х дверный (Фото - Калейдоскоп)</t>
  </si>
  <si>
    <t>Прайм 3-х дверный (Фото - Плетение)</t>
  </si>
  <si>
    <t>Прайм 3-х дверный (Фото - Ромбы)</t>
  </si>
  <si>
    <t>Прайм 3-х дверный (Фото - Шары пастельные)</t>
  </si>
  <si>
    <t>Прайм 3-х дверный (Фото - Шелк)</t>
  </si>
  <si>
    <t>Стеллаж "Ник" высокий 730х250х1732</t>
  </si>
  <si>
    <t>"Экспресс 2"</t>
  </si>
  <si>
    <t>Вариант профиля: Серебро, Белый, Черный, Бронза</t>
  </si>
  <si>
    <t>Розничный</t>
  </si>
  <si>
    <t>Прайм 2-дверный (ЛДСП) окутанный</t>
  </si>
  <si>
    <t>Прайм 2-дверный (ЛДСП, Зеркало) окутанный</t>
  </si>
  <si>
    <t>Прайм 3-дверный (Зеркало, ЛДСП) окутанный</t>
  </si>
  <si>
    <t>Прайм 3-дверный (ЛДСП) окутанный</t>
  </si>
  <si>
    <t>Прайм 3-дверный (ЛДСП, Зеркало) окутанный</t>
  </si>
  <si>
    <t>Широкий Прайм 3-дверный (Зеркало, ЛДСП) окутанный</t>
  </si>
  <si>
    <t>Широкий Прайм 3-дверный (ЛДСП) окутанный</t>
  </si>
  <si>
    <t>Широкий Прайм 3-дверный (ЛДСП, Зеркало) окутанный</t>
  </si>
  <si>
    <t>Экспресс 2 2-х дверный (Зеркало)</t>
  </si>
  <si>
    <t>Широкий Экспресс 2 2-х дверный (Зеркало)</t>
  </si>
  <si>
    <t>Экспресс 2 2-х дверный (ЛДСП)</t>
  </si>
  <si>
    <t>Экспресс 2 2-х дверный (ЛДСП, Зеркало)</t>
  </si>
  <si>
    <t>Широкий Экспресс 2 2-х дверный (ЛДСП)</t>
  </si>
  <si>
    <t>Широкий Экспресс 2 2-х дверный (ЛДСП, Зеркало)</t>
  </si>
  <si>
    <t>Экспресс 2 3-х дверный (ЛДСП, Зеркало)</t>
  </si>
  <si>
    <t>Экспресс 2 3-х дверный (Зеркало)</t>
  </si>
  <si>
    <t>Экспресс 2 3-х дверный (Зеркало, ЛДСП)</t>
  </si>
  <si>
    <t>Экспресс 2 3-х дверный (ЛДСП)</t>
  </si>
  <si>
    <t>Прайм 2-х дверный (ЛДСП, Стекло белое) окутанный</t>
  </si>
  <si>
    <t>Прайм 2-х дверный (ЛДСП, Стекло пудра) окутанный</t>
  </si>
  <si>
    <t>Прайм 2-х дверный (ЛДСП, Стекло фисташка) окутанный</t>
  </si>
  <si>
    <t>Прайм 2-х дверный (ЛДСП, Стекло хаки) окутанный</t>
  </si>
  <si>
    <t>Прайм 2-х дверный (ЛДСП, Стекло черное) окутанный</t>
  </si>
  <si>
    <t>Прайм 3-х дверный (Стекло белое, ЛДСП) окутанный</t>
  </si>
  <si>
    <t>Прайм 3-х дверный (Стекло пудра, ЛДСП) окутанный</t>
  </si>
  <si>
    <t>Прайм 3-х дверный (Стекло фисташка, ЛДСП) окутанный</t>
  </si>
  <si>
    <t>Прайм 3-х дверный (Стекло хаки, ЛДСП) окутанный</t>
  </si>
  <si>
    <t>Прайм 3-х дверный (Стекло черное, ЛДСП) окутанный</t>
  </si>
  <si>
    <t>Прайм 3-х дверный (ЛДСП, Стекло белое) окутанный</t>
  </si>
  <si>
    <t>Прайм 3-х дверный (ЛДСП, Стекло пудра) окутанный</t>
  </si>
  <si>
    <t>Прайм 3-х дверный (ЛДСП, Стекло фисташка) окутанный</t>
  </si>
  <si>
    <t>Прайм 3-х дверный (ЛДСП, Стекло хаки) окутанный</t>
  </si>
  <si>
    <t>Прайм 3-х дверный (ЛДСП, Стекло черное) окутанный</t>
  </si>
  <si>
    <t>Широкий Прайм 3-х дверный (ЛДСП, Стекло белое) окутанный</t>
  </si>
  <si>
    <t>Широкий Прайм 3-х дверный (ЛДСП, Стекло пудра) окутанный</t>
  </si>
  <si>
    <t>Широкий Прайм 3-х дверный (ЛДСП, Стекло фисташка) окутанный</t>
  </si>
  <si>
    <t>Широкий Прайм 3-х дверный (ЛДСП, Стекло хаки) окутанный</t>
  </si>
  <si>
    <t>Широкий Прайм 3-х дверный (ЛДСП, Стекло черное) окутанный</t>
  </si>
  <si>
    <t>Широкий Прайм 3-х дверный (Стекло белое, ЛДСП) окутанный</t>
  </si>
  <si>
    <t>Широкий Прайм 3-х дверный (Стекло пудра, ЛДСП) окутанный</t>
  </si>
  <si>
    <t>Широкий Прайм 3-х дверный (Стекло фисташка, ЛДСП) окутанный</t>
  </si>
  <si>
    <t>Широкий Прайм 3-х дверный (Стекло хаки, ЛДСП) окутанный</t>
  </si>
  <si>
    <t>Широкий Прайм 3-х дверный (Стекло черное, ЛДСП) окутанный</t>
  </si>
  <si>
    <t>*Возможно установить  дверь</t>
  </si>
  <si>
    <t>Бетон, Ясень Анкор светлый</t>
  </si>
  <si>
    <r>
      <rPr>
        <b/>
        <sz val="16"/>
        <rFont val="Bahnschrift SemiBold"/>
        <family val="2"/>
        <charset val="204"/>
      </rPr>
      <t>*</t>
    </r>
    <r>
      <rPr>
        <sz val="11"/>
        <rFont val="Bahnschrift SemiBold"/>
        <family val="2"/>
        <charset val="204"/>
      </rPr>
      <t>1910
(952*952)</t>
    </r>
  </si>
  <si>
    <t xml:space="preserve">Действующая ФОТОПЕЧАТЬ:
</t>
  </si>
  <si>
    <t xml:space="preserve">Париж, Улица, Листья Золото (Фото№1003), Морские волны(Фото№1015), Ночной Лондон, Ночной мост(Фото№1007), </t>
  </si>
  <si>
    <t>Сакура, Орхидея белая, Абстракция серая(Фото№1001), Абстракция фиолетовая(Фото№1002),  Абстракция бело-голубая(Фото№1010)</t>
  </si>
  <si>
    <t>Фиолетовый дым (Фото№1011), Абстракция фиолетово-золотая(Фото№1018), Пионы (Фото№1020)</t>
  </si>
  <si>
    <r>
      <rPr>
        <b/>
        <sz val="11"/>
        <color theme="1"/>
        <rFont val="Calibri"/>
        <family val="2"/>
        <charset val="204"/>
        <scheme val="minor"/>
      </rPr>
      <t>Новинка</t>
    </r>
    <r>
      <rPr>
        <sz val="11"/>
        <color theme="1"/>
        <rFont val="Calibri"/>
        <family val="2"/>
        <scheme val="minor"/>
      </rPr>
      <t>: Шелк, Калейдоскоп, Ленты, Квадраты, Шары</t>
    </r>
  </si>
  <si>
    <t>Названия строк</t>
  </si>
  <si>
    <t>Комплект ручек "Прайм Премиум" 2х дверный 2232 TM-L</t>
  </si>
  <si>
    <t>Комплект ручек "Прайм премиум" 3х дверный 2232 TM-L</t>
  </si>
  <si>
    <t>Серебряный, Белый, Черный профиль</t>
  </si>
  <si>
    <t>Комплект для 2-х дв. шкафа</t>
  </si>
  <si>
    <t>доп. доводчики</t>
  </si>
  <si>
    <t>Комплект для 3-х дв. шкафа</t>
  </si>
  <si>
    <t>Цена на 1 дверь
для 600 - 1 уп 
для 700/800 - 2 уп</t>
  </si>
  <si>
    <t>Ручка дополнительная</t>
  </si>
  <si>
    <t>Код_Номенклатуры</t>
  </si>
  <si>
    <t>ДСП/Зерк. Бронза</t>
  </si>
  <si>
    <t>2 Зерк. Бронза</t>
  </si>
  <si>
    <t>Зерк. Бронза/Стекло (Черн./Бел./Фисташка/Хаки/Пудра)</t>
  </si>
  <si>
    <t>2 ДСП/Зерк. Бронза</t>
  </si>
  <si>
    <t>2 Зерк. Бронза /ДСП</t>
  </si>
  <si>
    <t>Комби ДСП/Зерк. Бронза</t>
  </si>
  <si>
    <t>3 Зерк.Бронза</t>
  </si>
  <si>
    <t>2 Зерк. Бронза/Стекло (Черн./Бел./Фисташка/Хаки/Пудра)</t>
  </si>
  <si>
    <t>2 Стекла (Черн./Бел./Фисташка/Хаки/Пудра)
/Зеркало Бронза</t>
  </si>
  <si>
    <t>Шелк, Калейдоскоп, Ленты, Квадраты, Шары</t>
  </si>
  <si>
    <t>Серебро/Белый/Бронза/Черный профиль</t>
  </si>
  <si>
    <t>Экспресс 2 2-х дверный (Абстракция серая)</t>
  </si>
  <si>
    <t>Экспресс 2 2-х дверный (Абстракция фиолетовая)</t>
  </si>
  <si>
    <t>Экспресс 2 2-х дверный (Фиолетовый дым)</t>
  </si>
  <si>
    <t>Экспресс 2 2-х дверный (Улица)</t>
  </si>
  <si>
    <t>Экспресс 2 2-х дверный (Шары)</t>
  </si>
  <si>
    <t>Экспресс 2 2-х дверный (Шелк)</t>
  </si>
  <si>
    <t>Экспресс 2 2-х дверный (Абстракция бело-голубая)</t>
  </si>
  <si>
    <t>Экспресс 2 2-х дверный (Абстракция фиолетово-золотая)</t>
  </si>
  <si>
    <t>Экспресс 2 2-х дверный (Калейдоскоп)</t>
  </si>
  <si>
    <t>Экспресс 2 2-х дверный (Квадраты)</t>
  </si>
  <si>
    <t>Экспресс 2 2-х дверный (Ленты)</t>
  </si>
  <si>
    <t>Экспресс 2 2-х дверный (Листья золото)</t>
  </si>
  <si>
    <t>Экспресс 2 2-х дверный (Морские волны)</t>
  </si>
  <si>
    <t>Экспресс 2 2-х дверный (Ночной Лондон)</t>
  </si>
  <si>
    <t>Экспресс 2 2-х дверный (Ночной мост)</t>
  </si>
  <si>
    <t>Экспресс 2 2-х дверный (Орхидея белая)</t>
  </si>
  <si>
    <t>Экспресс 2 2-х дверный (Париж)</t>
  </si>
  <si>
    <t>Экспресс 2 2-х дверный (Пионы)</t>
  </si>
  <si>
    <t>Экспресс 2 2-х дверный (Сакура)</t>
  </si>
  <si>
    <t>Экспресс 2 Хит 2-х дверный (Зеркало)</t>
  </si>
  <si>
    <t>Экспресс 2 Хит 2-х дверный (ЛДСП)</t>
  </si>
  <si>
    <t>Экспресс 2 Хит 2-х дверный (ЛДСП, Зеркало)</t>
  </si>
  <si>
    <t>Экспресс 2 3-х дверный (Ленты)</t>
  </si>
  <si>
    <t>Экспресс 2 3-х дверный (Сакура)</t>
  </si>
  <si>
    <t>Экспресс 2 3-х дверный (Фиолетовый дым)</t>
  </si>
  <si>
    <t>Экспресс 2 3-х дверный (Улица)</t>
  </si>
  <si>
    <t>Экспресс 2 3-х дверный (Шары)</t>
  </si>
  <si>
    <t>Экспресс 2 3-х дверный (Шелк)</t>
  </si>
  <si>
    <t>Экспресс 2 3-х дверный (Абстракция бело-голубая)</t>
  </si>
  <si>
    <t>Экспресс 2 3-х дверный (Абстракция серая)</t>
  </si>
  <si>
    <t>Экспресс 2 3-х дверный (Абстракция фиолетовая)</t>
  </si>
  <si>
    <t>Экспресс 2 3-х дверный (Абстракция фиолетово-золотая)</t>
  </si>
  <si>
    <t>Экспресс 2 3-х дверный (Калейдоскоп)</t>
  </si>
  <si>
    <t>Экспресс 2 3-х дверный (Квадраты)</t>
  </si>
  <si>
    <t>Экспресс 2 3-х дверный (Листья золото)</t>
  </si>
  <si>
    <t>Экспресс 2 3-х дверный (Морские волны)</t>
  </si>
  <si>
    <t>Экспресс 2 3-х дверный (Ночной Лондон)</t>
  </si>
  <si>
    <t>Экспресс 2 3-х дверный (Ночной мост)</t>
  </si>
  <si>
    <t>Экспресс 2 3-х дверный (Орхидея белая)</t>
  </si>
  <si>
    <t>Экспресс 2 3-х дверный (Париж)</t>
  </si>
  <si>
    <t>Экспресс 2 3-х дверный (Пионы)</t>
  </si>
  <si>
    <t>512</t>
  </si>
  <si>
    <t>Корпус стеллажа "Локер" (2200х300х507)</t>
  </si>
  <si>
    <t>Корпус шкафа "Локер" (2200х808х507)</t>
  </si>
  <si>
    <t>Корпус стеллажа "Локер" (2200х424х507)</t>
  </si>
  <si>
    <t>Прямая гардеробная система "Локер" (2200х1800х507)</t>
  </si>
  <si>
    <t>Комплект дверей шкафа распашного "Локер" - ДСП (ШК 1214)</t>
  </si>
  <si>
    <t>Комплект дверей шкафа складного "Локер" - ДСП/2200х1214  (ШК 1200)</t>
  </si>
  <si>
    <t>Корпус стеллажа "Локер" углового (2200х952х952)</t>
  </si>
  <si>
    <t>Корпус шкафа "Локер" (2200х608х507)</t>
  </si>
  <si>
    <t>Корпус шкафа "Локер" (2200х1008х507)</t>
  </si>
  <si>
    <t>Корпус шкафа "Локер" (2200х1214х507)</t>
  </si>
  <si>
    <t>2-х дверные</t>
  </si>
  <si>
    <t>Локер 2-х дверный ("Гармошка")</t>
  </si>
  <si>
    <t>Локер 2-х дверный ("Гармошка" с системой Push to Move/Левый)</t>
  </si>
  <si>
    <t>Локер 2-х дверный ("Гармошка" с системой Push to Move/Правый)</t>
  </si>
  <si>
    <t>Упаковка фурнитуры "Локер" - Wing LIne(Push to open)/(ШК1200)_левый</t>
  </si>
  <si>
    <t>Упаковка фурнитуры "Локер" - Wing LIne(Push to open)/(ШК1200)_правый</t>
  </si>
  <si>
    <t>Упаковка фурнитуры "Локер" - Wing LIne/(ШК1200)</t>
  </si>
  <si>
    <t>Упаковка фурнитуры "Локер" - Распашной/(ШК800/1000/1200)</t>
  </si>
  <si>
    <t>608, 808, 1008</t>
  </si>
  <si>
    <r>
      <rPr>
        <b/>
        <sz val="14"/>
        <rFont val="Bahnschrift SemiBold"/>
        <family val="2"/>
        <charset val="204"/>
      </rPr>
      <t>*</t>
    </r>
    <r>
      <rPr>
        <sz val="11"/>
        <rFont val="Bahnschrift SemiBold"/>
        <family val="2"/>
        <charset val="204"/>
      </rPr>
      <t>608</t>
    </r>
  </si>
  <si>
    <t>Белый профиль</t>
  </si>
  <si>
    <t>Дополнительные полки "Эста" 776х492, 3шт секция ШК800х580</t>
  </si>
  <si>
    <t>Дополнительные полки "Эста" 876х492, 3шт секция ШК900х580</t>
  </si>
  <si>
    <t>Дополнительные полки "Эста" 976х492, 3шт секция ШК1000х580</t>
  </si>
  <si>
    <t>Модуль "Эста" 776х388 секция 800</t>
  </si>
  <si>
    <t>Модуль "Эста" 876х388 секция 900</t>
  </si>
  <si>
    <t>Модуль "Эста" 976х388 секция 1000</t>
  </si>
  <si>
    <t>Модуль с выдвижными ящиками "Экспресс" 676х388х341 секция ШК700х440</t>
  </si>
  <si>
    <t>Модуль с выдвижными ящиками "Экспресс" 776х388х341 секция ШК800х440</t>
  </si>
  <si>
    <t>Модуль с выдвижными ящиками "Экспресс" 476х388х341 секция ШК500х440</t>
  </si>
  <si>
    <t>Модуль с выдвижными ящиками "Экспресс" 576х388х341 секция ШК600х440</t>
  </si>
  <si>
    <t>Комплект направляющих "Экспресс" 2059 ШК2100 Цветной профиль</t>
  </si>
  <si>
    <t>2100</t>
  </si>
  <si>
    <t>Комплект направляющих "Экспресс" 1567 ШК1600 Цветной профиль</t>
  </si>
  <si>
    <t>1600</t>
  </si>
  <si>
    <t>Комплект направляющих "Экспресс" 1367 ШК1400 Цветной профиль</t>
  </si>
  <si>
    <t>Комплект направляющих "Экспресс" 2359 ШК2400 Цветной профиль</t>
  </si>
  <si>
    <t>Комплект направляющих "Экспресс" 1759 ШК1800 Цветной профиль</t>
  </si>
  <si>
    <t>Комплект направляющих "Экспресс" 1167 ШК1200 Цветной профиль</t>
  </si>
  <si>
    <t>Цветные направляющие (все цвета)</t>
  </si>
  <si>
    <t>прайс базовой территории на малогабаритную мебель</t>
  </si>
  <si>
    <t>прайс базовой территории на шкафы</t>
  </si>
  <si>
    <t>Оптовый прайс базовой территории на
серии Локер Гардеробная система</t>
  </si>
  <si>
    <t>прайс базовой территории на двери-купе</t>
  </si>
  <si>
    <t>Белый Снег, Венге, Сонома, 
Ясень Шимо светлый</t>
  </si>
  <si>
    <t>Модуль универсальный</t>
  </si>
  <si>
    <t>ЛДСП</t>
  </si>
  <si>
    <t>Ширина 1214</t>
  </si>
  <si>
    <t>Серебро ручка</t>
  </si>
  <si>
    <t>Цветные ручки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</si>
</sst>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#,##0\ [$руб.-419];\-#,##0\ [$руб.-419]"/>
    <numFmt numFmtId="166" formatCode="_-* #,##0_-;\-* #,##0_-;_-* &quot;-&quot;??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name val="Bahnschrift SemiBold"/>
      <family val="2"/>
      <charset val="204"/>
    </font>
    <font>
      <sz val="11"/>
      <color theme="1"/>
      <name val="Bahnschrift SemiBold"/>
      <family val="2"/>
      <charset val="204"/>
    </font>
    <font>
      <sz val="10"/>
      <name val="Comic Sans MS"/>
      <family val="4"/>
      <charset val="204"/>
    </font>
    <font>
      <sz val="9"/>
      <name val="Bahnschrift SemiBold"/>
      <family val="2"/>
      <charset val="204"/>
    </font>
    <font>
      <b/>
      <sz val="9"/>
      <name val="Bahnschrift SemiBold"/>
      <family val="2"/>
      <charset val="204"/>
    </font>
    <font>
      <b/>
      <sz val="9"/>
      <name val="Arial"/>
      <family val="2"/>
      <charset val="204"/>
    </font>
    <font>
      <b/>
      <sz val="8"/>
      <name val="Bahnschrift SemiBold"/>
      <family val="2"/>
      <charset val="204"/>
    </font>
    <font>
      <u/>
      <sz val="10"/>
      <color indexed="30"/>
      <name val="Arial Cyr"/>
      <family val="2"/>
      <charset val="204"/>
    </font>
    <font>
      <b/>
      <sz val="10"/>
      <color indexed="8"/>
      <name val="Arial"/>
      <family val="2"/>
      <charset val="204"/>
    </font>
    <font>
      <b/>
      <sz val="9"/>
      <color indexed="8"/>
      <name val="Bahnschrift SemiBold"/>
      <family val="2"/>
      <charset val="204"/>
    </font>
    <font>
      <sz val="8"/>
      <color indexed="8"/>
      <name val="Bahnschrift SemiBold"/>
      <family val="2"/>
      <charset val="204"/>
    </font>
    <font>
      <b/>
      <sz val="11"/>
      <name val="Bahnschrift SemiBold"/>
      <family val="2"/>
      <charset val="204"/>
    </font>
    <font>
      <b/>
      <sz val="11"/>
      <color theme="1"/>
      <name val="Bahnschrift SemiBold"/>
      <family val="2"/>
      <charset val="204"/>
    </font>
    <font>
      <b/>
      <sz val="11"/>
      <color theme="1"/>
      <name val="Arial"/>
      <family val="2"/>
      <charset val="204"/>
    </font>
    <font>
      <b/>
      <sz val="16"/>
      <name val="Bahnschrift SemiBold"/>
      <family val="2"/>
      <charset val="204"/>
    </font>
    <font>
      <b/>
      <sz val="13"/>
      <name val="Bahnschrift SemiBold"/>
      <family val="2"/>
      <charset val="204"/>
    </font>
    <font>
      <sz val="12"/>
      <color theme="1"/>
      <name val="Comic Sans MS"/>
      <family val="4"/>
      <charset val="204"/>
    </font>
    <font>
      <b/>
      <sz val="10"/>
      <color theme="1"/>
      <name val="Bahnschrift SemiBold"/>
      <family val="2"/>
      <charset val="204"/>
    </font>
    <font>
      <sz val="12"/>
      <name val="Comic Sans MS"/>
      <family val="4"/>
      <charset val="204"/>
    </font>
    <font>
      <sz val="10"/>
      <name val="Bahnschrift SemiBold"/>
      <family val="2"/>
      <charset val="1"/>
    </font>
    <font>
      <b/>
      <sz val="10"/>
      <name val="Arial"/>
      <family val="2"/>
      <charset val="204"/>
    </font>
    <font>
      <sz val="10"/>
      <name val="Bahnschrift SemiBold"/>
      <family val="2"/>
      <charset val="204"/>
    </font>
    <font>
      <sz val="11"/>
      <name val="Arial Black"/>
      <family val="2"/>
      <charset val="1"/>
    </font>
    <font>
      <sz val="13"/>
      <name val="Arial Black"/>
      <family val="2"/>
      <charset val="1"/>
    </font>
    <font>
      <b/>
      <sz val="14"/>
      <name val="Bahnschrift SemiBold"/>
      <family val="2"/>
      <charset val="204"/>
    </font>
    <font>
      <sz val="9"/>
      <color theme="1"/>
      <name val="Bahnschrift SemiBold"/>
      <family val="2"/>
      <charset val="204"/>
    </font>
    <font>
      <sz val="10"/>
      <color theme="1"/>
      <name val="Bahnschrift SemiBold"/>
      <family val="2"/>
      <charset val="204"/>
    </font>
    <font>
      <sz val="8"/>
      <color theme="1"/>
      <name val="Comic Sans MS"/>
      <family val="4"/>
      <charset val="204"/>
    </font>
    <font>
      <sz val="10"/>
      <color theme="1"/>
      <name val="Comic Sans MS"/>
      <family val="4"/>
      <charset val="204"/>
    </font>
    <font>
      <sz val="9"/>
      <color theme="1"/>
      <name val="Miriam Libre"/>
      <family val="3"/>
    </font>
    <font>
      <b/>
      <sz val="8"/>
      <color indexed="8"/>
      <name val="Bahnschrift SemiBold"/>
      <family val="2"/>
      <charset val="204"/>
    </font>
    <font>
      <sz val="11"/>
      <name val="Bahnschrift SemiBold"/>
      <family val="2"/>
      <charset val="204"/>
    </font>
    <font>
      <sz val="13"/>
      <name val="Bahnschrift SemiBold"/>
      <family val="2"/>
      <charset val="204"/>
    </font>
    <font>
      <sz val="14"/>
      <name val="Bahnschrift SemiBold"/>
      <family val="2"/>
      <charset val="204"/>
    </font>
    <font>
      <sz val="12"/>
      <name val="Bahnschrift SemiBold"/>
      <family val="2"/>
      <charset val="204"/>
    </font>
    <font>
      <sz val="9"/>
      <color indexed="8"/>
      <name val="Bahnschrift SemiBold"/>
      <family val="2"/>
      <charset val="204"/>
    </font>
    <font>
      <sz val="8"/>
      <color theme="1"/>
      <name val="Bahnschrift SemiBold"/>
      <family val="2"/>
      <charset val="204"/>
    </font>
    <font>
      <sz val="12"/>
      <name val="Bahnschrift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Bahnschrift SemiBold"/>
      <family val="2"/>
      <charset val="204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3F8FD"/>
        <bgColor indexed="64"/>
      </patternFill>
    </fill>
    <fill>
      <patternFill patternType="solid">
        <fgColor rgb="FFFCFDDF"/>
        <bgColor indexed="64"/>
      </patternFill>
    </fill>
    <fill>
      <patternFill patternType="solid">
        <fgColor rgb="FFE6FEE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81">
    <border>
      <left/>
      <right/>
      <top/>
      <bottom/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 style="thin">
        <color auto="1"/>
      </right>
      <top/>
      <bottom style="hair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auto="1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auto="1"/>
      </left>
      <right/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indexed="64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auto="1"/>
      </top>
      <bottom/>
      <diagonal/>
    </border>
    <border>
      <left style="thick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 style="medium">
        <color indexed="64"/>
      </right>
      <top style="hair">
        <color auto="1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auto="1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900">
    <xf numFmtId="0" fontId="0" fillId="0" borderId="0" xfId="0"/>
    <xf numFmtId="0" fontId="4" fillId="0" borderId="0" xfId="0" applyFont="1" applyAlignment="1">
      <alignment vertical="center" textRotation="90"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3" fontId="6" fillId="0" borderId="15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 wrapText="1"/>
    </xf>
    <xf numFmtId="3" fontId="6" fillId="0" borderId="24" xfId="0" applyNumberFormat="1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 wrapText="1"/>
    </xf>
    <xf numFmtId="3" fontId="6" fillId="0" borderId="27" xfId="0" applyNumberFormat="1" applyFont="1" applyBorder="1" applyAlignment="1">
      <alignment horizontal="center" vertical="center"/>
    </xf>
    <xf numFmtId="3" fontId="6" fillId="2" borderId="28" xfId="0" applyNumberFormat="1" applyFont="1" applyFill="1" applyBorder="1" applyAlignment="1">
      <alignment horizontal="center" vertical="center"/>
    </xf>
    <xf numFmtId="3" fontId="6" fillId="0" borderId="28" xfId="0" applyNumberFormat="1" applyFont="1" applyBorder="1" applyAlignment="1">
      <alignment horizontal="center" vertical="center"/>
    </xf>
    <xf numFmtId="3" fontId="6" fillId="2" borderId="29" xfId="0" applyNumberFormat="1" applyFont="1" applyFill="1" applyBorder="1" applyAlignment="1">
      <alignment horizontal="center" vertical="center"/>
    </xf>
    <xf numFmtId="3" fontId="6" fillId="0" borderId="19" xfId="0" applyNumberFormat="1" applyFont="1" applyBorder="1" applyAlignment="1">
      <alignment horizontal="center" vertical="center"/>
    </xf>
    <xf numFmtId="3" fontId="6" fillId="2" borderId="20" xfId="0" applyNumberFormat="1" applyFont="1" applyFill="1" applyBorder="1" applyAlignment="1">
      <alignment horizontal="center" vertical="center"/>
    </xf>
    <xf numFmtId="3" fontId="6" fillId="2" borderId="21" xfId="0" applyNumberFormat="1" applyFont="1" applyFill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2" borderId="24" xfId="0" applyNumberFormat="1" applyFont="1" applyFill="1" applyBorder="1" applyAlignment="1">
      <alignment horizontal="center" vertical="center"/>
    </xf>
    <xf numFmtId="3" fontId="6" fillId="2" borderId="25" xfId="0" applyNumberFormat="1" applyFont="1" applyFill="1" applyBorder="1" applyAlignment="1">
      <alignment horizontal="center" vertical="center"/>
    </xf>
    <xf numFmtId="3" fontId="6" fillId="0" borderId="14" xfId="0" applyNumberFormat="1" applyFont="1" applyBorder="1" applyAlignment="1">
      <alignment horizontal="center" vertical="center"/>
    </xf>
    <xf numFmtId="3" fontId="6" fillId="2" borderId="15" xfId="0" applyNumberFormat="1" applyFont="1" applyFill="1" applyBorder="1" applyAlignment="1">
      <alignment horizontal="center" vertical="center"/>
    </xf>
    <xf numFmtId="3" fontId="6" fillId="2" borderId="16" xfId="0" applyNumberFormat="1" applyFont="1" applyFill="1" applyBorder="1" applyAlignment="1">
      <alignment horizontal="center" vertical="center"/>
    </xf>
    <xf numFmtId="3" fontId="6" fillId="0" borderId="31" xfId="0" applyNumberFormat="1" applyFont="1" applyBorder="1" applyAlignment="1">
      <alignment horizontal="center" vertical="center"/>
    </xf>
    <xf numFmtId="3" fontId="6" fillId="2" borderId="32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>
      <alignment horizontal="center" vertical="center"/>
    </xf>
    <xf numFmtId="3" fontId="6" fillId="2" borderId="33" xfId="0" applyNumberFormat="1" applyFont="1" applyFill="1" applyBorder="1" applyAlignment="1">
      <alignment horizontal="center" vertical="center"/>
    </xf>
    <xf numFmtId="3" fontId="0" fillId="0" borderId="0" xfId="0" applyNumberFormat="1"/>
    <xf numFmtId="3" fontId="2" fillId="0" borderId="0" xfId="0" applyNumberFormat="1" applyFont="1"/>
    <xf numFmtId="0" fontId="2" fillId="0" borderId="0" xfId="0" applyFont="1"/>
    <xf numFmtId="0" fontId="9" fillId="3" borderId="30" xfId="0" applyFont="1" applyFill="1" applyBorder="1" applyAlignment="1">
      <alignment horizontal="center" vertical="center" wrapText="1"/>
    </xf>
    <xf numFmtId="14" fontId="15" fillId="0" borderId="6" xfId="0" applyNumberFormat="1" applyFont="1" applyBorder="1" applyAlignment="1">
      <alignment horizontal="left" vertical="center" wrapText="1"/>
    </xf>
    <xf numFmtId="0" fontId="15" fillId="0" borderId="6" xfId="0" applyFont="1" applyBorder="1" applyAlignment="1">
      <alignment horizontal="right" vertical="center" wrapText="1"/>
    </xf>
    <xf numFmtId="0" fontId="16" fillId="0" borderId="6" xfId="0" applyFont="1" applyBorder="1" applyAlignment="1">
      <alignment horizontal="center" vertical="center"/>
    </xf>
    <xf numFmtId="14" fontId="16" fillId="4" borderId="0" xfId="0" applyNumberFormat="1" applyFont="1" applyFill="1" applyAlignment="1">
      <alignment horizontal="left" vertical="top"/>
    </xf>
    <xf numFmtId="0" fontId="15" fillId="0" borderId="0" xfId="0" applyFont="1" applyAlignment="1">
      <alignment horizontal="right" vertical="center" wrapText="1"/>
    </xf>
    <xf numFmtId="0" fontId="16" fillId="0" borderId="0" xfId="0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2" fillId="0" borderId="14" xfId="4" applyNumberFormat="1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2" fillId="0" borderId="19" xfId="4" applyNumberFormat="1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2" fillId="0" borderId="23" xfId="4" applyNumberFormat="1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2" fillId="0" borderId="15" xfId="4" applyNumberFormat="1" applyFont="1" applyBorder="1" applyAlignment="1">
      <alignment horizontal="center" vertical="center"/>
    </xf>
    <xf numFmtId="0" fontId="22" fillId="0" borderId="20" xfId="4" applyNumberFormat="1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 wrapText="1"/>
    </xf>
    <xf numFmtId="165" fontId="12" fillId="0" borderId="18" xfId="3" applyNumberFormat="1" applyFont="1" applyFill="1" applyBorder="1" applyAlignment="1" applyProtection="1">
      <alignment horizontal="center" vertical="center" wrapText="1"/>
    </xf>
    <xf numFmtId="14" fontId="26" fillId="0" borderId="6" xfId="0" applyNumberFormat="1" applyFont="1" applyBorder="1" applyAlignment="1">
      <alignment horizontal="left" vertical="center" wrapText="1"/>
    </xf>
    <xf numFmtId="0" fontId="27" fillId="0" borderId="6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6" xfId="0" applyBorder="1"/>
    <xf numFmtId="3" fontId="6" fillId="0" borderId="67" xfId="0" applyNumberFormat="1" applyFont="1" applyBorder="1" applyAlignment="1">
      <alignment horizontal="center" vertical="center"/>
    </xf>
    <xf numFmtId="0" fontId="7" fillId="0" borderId="81" xfId="0" applyFont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 vertical="center" wrapText="1"/>
    </xf>
    <xf numFmtId="14" fontId="15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vertical="center" wrapText="1"/>
    </xf>
    <xf numFmtId="14" fontId="18" fillId="0" borderId="0" xfId="0" applyNumberFormat="1" applyFont="1" applyAlignment="1">
      <alignment vertical="center" wrapText="1"/>
    </xf>
    <xf numFmtId="14" fontId="19" fillId="0" borderId="0" xfId="0" applyNumberFormat="1" applyFont="1" applyAlignment="1">
      <alignment horizontal="right" vertical="center" wrapText="1"/>
    </xf>
    <xf numFmtId="14" fontId="19" fillId="0" borderId="10" xfId="0" applyNumberFormat="1" applyFont="1" applyBorder="1" applyAlignment="1">
      <alignment horizontal="right" vertical="center" wrapText="1"/>
    </xf>
    <xf numFmtId="0" fontId="7" fillId="0" borderId="72" xfId="0" applyFont="1" applyBorder="1" applyAlignment="1">
      <alignment horizontal="center" vertical="center" wrapText="1"/>
    </xf>
    <xf numFmtId="3" fontId="6" fillId="2" borderId="69" xfId="0" applyNumberFormat="1" applyFont="1" applyFill="1" applyBorder="1" applyAlignment="1">
      <alignment horizontal="center" vertical="center"/>
    </xf>
    <xf numFmtId="3" fontId="6" fillId="2" borderId="81" xfId="0" applyNumberFormat="1" applyFont="1" applyFill="1" applyBorder="1" applyAlignment="1">
      <alignment horizontal="center" vertical="center"/>
    </xf>
    <xf numFmtId="3" fontId="32" fillId="0" borderId="6" xfId="0" applyNumberFormat="1" applyFont="1" applyBorder="1"/>
    <xf numFmtId="0" fontId="7" fillId="0" borderId="17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3" fontId="6" fillId="2" borderId="82" xfId="0" applyNumberFormat="1" applyFont="1" applyFill="1" applyBorder="1" applyAlignment="1">
      <alignment horizontal="center" vertical="center"/>
    </xf>
    <xf numFmtId="3" fontId="32" fillId="0" borderId="0" xfId="0" applyNumberFormat="1" applyFont="1"/>
    <xf numFmtId="0" fontId="7" fillId="0" borderId="2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3" fontId="6" fillId="2" borderId="83" xfId="0" applyNumberFormat="1" applyFont="1" applyFill="1" applyBorder="1" applyAlignment="1">
      <alignment horizontal="center" vertical="center"/>
    </xf>
    <xf numFmtId="3" fontId="32" fillId="0" borderId="10" xfId="0" applyNumberFormat="1" applyFont="1" applyBorder="1"/>
    <xf numFmtId="0" fontId="7" fillId="0" borderId="79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3" fontId="33" fillId="0" borderId="9" xfId="0" applyNumberFormat="1" applyFont="1" applyBorder="1"/>
    <xf numFmtId="3" fontId="33" fillId="0" borderId="10" xfId="0" applyNumberFormat="1" applyFont="1" applyBorder="1"/>
    <xf numFmtId="0" fontId="8" fillId="0" borderId="24" xfId="0" applyFont="1" applyBorder="1" applyAlignment="1">
      <alignment horizontal="center" vertical="center"/>
    </xf>
    <xf numFmtId="0" fontId="0" fillId="0" borderId="30" xfId="0" applyBorder="1"/>
    <xf numFmtId="0" fontId="5" fillId="0" borderId="0" xfId="0" applyFont="1"/>
    <xf numFmtId="0" fontId="4" fillId="0" borderId="13" xfId="0" applyFont="1" applyBorder="1" applyAlignment="1">
      <alignment horizontal="center" vertical="center" textRotation="90" wrapText="1"/>
    </xf>
    <xf numFmtId="0" fontId="4" fillId="0" borderId="17" xfId="0" applyFont="1" applyBorder="1" applyAlignment="1">
      <alignment vertical="center" textRotation="90" wrapText="1"/>
    </xf>
    <xf numFmtId="0" fontId="4" fillId="0" borderId="22" xfId="0" applyFont="1" applyBorder="1" applyAlignment="1">
      <alignment vertical="center" textRotation="90" wrapText="1"/>
    </xf>
    <xf numFmtId="0" fontId="4" fillId="0" borderId="26" xfId="0" applyFont="1" applyBorder="1" applyAlignment="1">
      <alignment vertical="center" textRotation="90" wrapText="1"/>
    </xf>
    <xf numFmtId="0" fontId="10" fillId="0" borderId="6" xfId="0" applyFont="1" applyBorder="1" applyAlignment="1">
      <alignment vertical="center" wrapText="1"/>
    </xf>
    <xf numFmtId="14" fontId="35" fillId="0" borderId="6" xfId="0" applyNumberFormat="1" applyFont="1" applyBorder="1" applyAlignment="1">
      <alignment horizontal="left" vertical="center" wrapText="1"/>
    </xf>
    <xf numFmtId="0" fontId="36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14" fontId="37" fillId="0" borderId="0" xfId="0" applyNumberFormat="1" applyFont="1" applyAlignment="1">
      <alignment horizontal="left" vertical="center" wrapText="1"/>
    </xf>
    <xf numFmtId="14" fontId="38" fillId="0" borderId="0" xfId="0" applyNumberFormat="1" applyFont="1" applyAlignment="1">
      <alignment horizontal="right" vertical="center" wrapText="1"/>
    </xf>
    <xf numFmtId="14" fontId="38" fillId="0" borderId="10" xfId="0" applyNumberFormat="1" applyFont="1" applyBorder="1" applyAlignment="1">
      <alignment horizontal="right" vertical="center" wrapText="1"/>
    </xf>
    <xf numFmtId="3" fontId="6" fillId="0" borderId="88" xfId="0" applyNumberFormat="1" applyFont="1" applyBorder="1" applyAlignment="1">
      <alignment horizontal="center" vertical="center"/>
    </xf>
    <xf numFmtId="3" fontId="6" fillId="0" borderId="91" xfId="0" applyNumberFormat="1" applyFont="1" applyBorder="1" applyAlignment="1">
      <alignment horizontal="center" vertical="center"/>
    </xf>
    <xf numFmtId="0" fontId="7" fillId="0" borderId="75" xfId="0" applyFont="1" applyBorder="1" applyAlignment="1">
      <alignment horizontal="center" vertical="center" wrapText="1"/>
    </xf>
    <xf numFmtId="3" fontId="6" fillId="0" borderId="94" xfId="0" applyNumberFormat="1" applyFont="1" applyBorder="1" applyAlignment="1">
      <alignment horizontal="center" vertical="center"/>
    </xf>
    <xf numFmtId="0" fontId="0" fillId="0" borderId="0" xfId="0" pivotButton="1"/>
    <xf numFmtId="166" fontId="0" fillId="0" borderId="0" xfId="1" applyNumberFormat="1" applyFont="1"/>
    <xf numFmtId="9" fontId="0" fillId="0" borderId="0" xfId="2" applyFont="1"/>
    <xf numFmtId="166" fontId="0" fillId="0" borderId="0" xfId="0" applyNumberFormat="1"/>
    <xf numFmtId="166" fontId="0" fillId="0" borderId="0" xfId="0" pivotButton="1" applyNumberFormat="1"/>
    <xf numFmtId="0" fontId="5" fillId="0" borderId="36" xfId="0" applyFont="1" applyBorder="1"/>
    <xf numFmtId="0" fontId="5" fillId="0" borderId="35" xfId="0" applyFont="1" applyBorder="1"/>
    <xf numFmtId="0" fontId="8" fillId="3" borderId="86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30" xfId="0" applyFont="1" applyBorder="1" applyAlignment="1">
      <alignment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7" fillId="0" borderId="57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65" fontId="14" fillId="0" borderId="87" xfId="3" applyNumberFormat="1" applyFont="1" applyFill="1" applyBorder="1" applyAlignment="1" applyProtection="1">
      <alignment horizontal="center" vertical="center" wrapText="1"/>
    </xf>
    <xf numFmtId="165" fontId="13" fillId="2" borderId="50" xfId="3" applyNumberFormat="1" applyFont="1" applyFill="1" applyBorder="1" applyAlignment="1" applyProtection="1">
      <alignment horizontal="center" vertical="center" wrapText="1"/>
    </xf>
    <xf numFmtId="14" fontId="19" fillId="0" borderId="0" xfId="0" applyNumberFormat="1" applyFont="1" applyAlignment="1">
      <alignment horizontal="center" vertical="center" wrapText="1"/>
    </xf>
    <xf numFmtId="165" fontId="34" fillId="0" borderId="87" xfId="3" applyNumberFormat="1" applyFont="1" applyFill="1" applyBorder="1" applyAlignment="1" applyProtection="1">
      <alignment horizontal="center" vertical="center" wrapText="1"/>
    </xf>
    <xf numFmtId="0" fontId="19" fillId="0" borderId="6" xfId="0" applyFont="1" applyBorder="1" applyAlignment="1">
      <alignment vertical="center" wrapText="1"/>
    </xf>
    <xf numFmtId="0" fontId="10" fillId="0" borderId="6" xfId="0" applyFont="1" applyBorder="1" applyAlignment="1">
      <alignment horizontal="center" vertical="center" wrapText="1"/>
    </xf>
    <xf numFmtId="165" fontId="39" fillId="0" borderId="87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27" fillId="0" borderId="0" xfId="0" applyFont="1" applyAlignment="1">
      <alignment vertical="center" wrapText="1"/>
    </xf>
    <xf numFmtId="14" fontId="41" fillId="0" borderId="10" xfId="0" applyNumberFormat="1" applyFont="1" applyBorder="1" applyAlignment="1">
      <alignment horizontal="right" vertical="center" wrapText="1"/>
    </xf>
    <xf numFmtId="0" fontId="17" fillId="0" borderId="10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3" fontId="6" fillId="0" borderId="33" xfId="0" applyNumberFormat="1" applyFont="1" applyBorder="1" applyAlignment="1">
      <alignment horizontal="center" vertical="center"/>
    </xf>
    <xf numFmtId="0" fontId="7" fillId="0" borderId="102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165" fontId="14" fillId="0" borderId="49" xfId="3" applyNumberFormat="1" applyFont="1" applyFill="1" applyBorder="1" applyAlignment="1" applyProtection="1">
      <alignment horizontal="center" vertical="center" wrapText="1"/>
    </xf>
    <xf numFmtId="165" fontId="13" fillId="2" borderId="100" xfId="3" applyNumberFormat="1" applyFont="1" applyFill="1" applyBorder="1" applyAlignment="1" applyProtection="1">
      <alignment horizontal="center" vertical="center" wrapText="1"/>
    </xf>
    <xf numFmtId="165" fontId="14" fillId="0" borderId="100" xfId="3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3" fontId="31" fillId="0" borderId="34" xfId="0" applyNumberFormat="1" applyFont="1" applyBorder="1" applyAlignment="1">
      <alignment horizontal="center"/>
    </xf>
    <xf numFmtId="3" fontId="6" fillId="2" borderId="30" xfId="0" applyNumberFormat="1" applyFont="1" applyFill="1" applyBorder="1" applyAlignment="1">
      <alignment horizontal="center" vertical="center"/>
    </xf>
    <xf numFmtId="3" fontId="31" fillId="0" borderId="0" xfId="0" applyNumberFormat="1" applyFont="1" applyAlignment="1">
      <alignment horizontal="center"/>
    </xf>
    <xf numFmtId="0" fontId="5" fillId="0" borderId="105" xfId="0" applyFont="1" applyBorder="1" applyAlignment="1">
      <alignment horizontal="center" vertical="center"/>
    </xf>
    <xf numFmtId="0" fontId="5" fillId="0" borderId="105" xfId="0" applyFont="1" applyBorder="1"/>
    <xf numFmtId="0" fontId="40" fillId="0" borderId="105" xfId="0" applyFont="1" applyBorder="1" applyAlignment="1">
      <alignment horizontal="center" vertical="center"/>
    </xf>
    <xf numFmtId="0" fontId="35" fillId="0" borderId="105" xfId="0" applyFont="1" applyBorder="1" applyAlignment="1">
      <alignment horizontal="center" vertical="center"/>
    </xf>
    <xf numFmtId="14" fontId="35" fillId="0" borderId="0" xfId="0" applyNumberFormat="1" applyFont="1" applyAlignment="1">
      <alignment horizontal="left" vertical="center" wrapText="1"/>
    </xf>
    <xf numFmtId="0" fontId="8" fillId="0" borderId="10" xfId="0" applyFont="1" applyBorder="1" applyAlignment="1">
      <alignment vertical="center" wrapText="1"/>
    </xf>
    <xf numFmtId="0" fontId="5" fillId="0" borderId="107" xfId="0" applyFont="1" applyBorder="1"/>
    <xf numFmtId="0" fontId="10" fillId="3" borderId="108" xfId="0" applyFont="1" applyFill="1" applyBorder="1" applyAlignment="1">
      <alignment horizontal="center" vertical="center" wrapText="1"/>
    </xf>
    <xf numFmtId="0" fontId="0" fillId="0" borderId="0" xfId="0" applyNumberFormat="1"/>
    <xf numFmtId="0" fontId="8" fillId="0" borderId="105" xfId="0" applyFont="1" applyBorder="1" applyAlignment="1">
      <alignment horizontal="center" vertical="center" wrapText="1"/>
    </xf>
    <xf numFmtId="3" fontId="6" fillId="0" borderId="27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 textRotation="90" wrapText="1"/>
    </xf>
    <xf numFmtId="0" fontId="5" fillId="0" borderId="105" xfId="0" applyFont="1" applyBorder="1" applyAlignment="1">
      <alignment horizontal="center"/>
    </xf>
    <xf numFmtId="0" fontId="35" fillId="0" borderId="105" xfId="0" applyFont="1" applyBorder="1" applyAlignment="1">
      <alignment horizontal="center" vertical="center" wrapText="1"/>
    </xf>
    <xf numFmtId="0" fontId="7" fillId="0" borderId="105" xfId="0" applyFont="1" applyBorder="1" applyAlignment="1">
      <alignment horizontal="center" vertical="center" wrapText="1"/>
    </xf>
    <xf numFmtId="3" fontId="6" fillId="0" borderId="105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0" fillId="0" borderId="34" xfId="0" applyBorder="1" applyAlignment="1">
      <alignment vertical="center"/>
    </xf>
    <xf numFmtId="3" fontId="6" fillId="2" borderId="105" xfId="0" applyNumberFormat="1" applyFont="1" applyFill="1" applyBorder="1" applyAlignment="1">
      <alignment horizontal="center" vertical="center"/>
    </xf>
    <xf numFmtId="3" fontId="6" fillId="0" borderId="105" xfId="0" applyNumberFormat="1" applyFont="1" applyFill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34" xfId="0" applyBorder="1"/>
    <xf numFmtId="1" fontId="35" fillId="0" borderId="105" xfId="4" applyNumberFormat="1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1" fontId="22" fillId="0" borderId="105" xfId="4" applyNumberFormat="1" applyFont="1" applyBorder="1" applyAlignment="1">
      <alignment horizontal="center" vertical="center"/>
    </xf>
    <xf numFmtId="0" fontId="4" fillId="0" borderId="51" xfId="0" applyFont="1" applyBorder="1" applyAlignment="1">
      <alignment vertical="center" wrapText="1"/>
    </xf>
    <xf numFmtId="0" fontId="4" fillId="0" borderId="59" xfId="0" applyFont="1" applyBorder="1" applyAlignment="1">
      <alignment vertical="center" wrapText="1"/>
    </xf>
    <xf numFmtId="0" fontId="4" fillId="0" borderId="47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0" fillId="0" borderId="48" xfId="0" applyBorder="1"/>
    <xf numFmtId="0" fontId="0" fillId="0" borderId="56" xfId="0" applyBorder="1"/>
    <xf numFmtId="0" fontId="4" fillId="0" borderId="7" xfId="0" applyFont="1" applyBorder="1" applyAlignment="1">
      <alignment vertical="center" wrapText="1"/>
    </xf>
    <xf numFmtId="0" fontId="0" fillId="0" borderId="47" xfId="0" applyBorder="1"/>
    <xf numFmtId="0" fontId="38" fillId="0" borderId="0" xfId="0" applyFont="1" applyAlignment="1">
      <alignment vertical="center" wrapText="1"/>
    </xf>
    <xf numFmtId="0" fontId="36" fillId="0" borderId="122" xfId="0" applyFont="1" applyBorder="1" applyAlignment="1">
      <alignment vertical="center" wrapText="1"/>
    </xf>
    <xf numFmtId="0" fontId="35" fillId="0" borderId="122" xfId="0" applyFont="1" applyBorder="1" applyAlignment="1">
      <alignment horizontal="left" vertical="center" wrapText="1"/>
    </xf>
    <xf numFmtId="14" fontId="16" fillId="4" borderId="122" xfId="0" applyNumberFormat="1" applyFont="1" applyFill="1" applyBorder="1" applyAlignment="1">
      <alignment horizontal="left" vertical="center"/>
    </xf>
    <xf numFmtId="0" fontId="40" fillId="0" borderId="66" xfId="0" applyFont="1" applyBorder="1" applyAlignment="1">
      <alignment horizontal="center" vertical="center"/>
    </xf>
    <xf numFmtId="0" fontId="10" fillId="3" borderId="132" xfId="0" applyFont="1" applyFill="1" applyBorder="1" applyAlignment="1">
      <alignment horizontal="center" vertical="center" wrapText="1"/>
    </xf>
    <xf numFmtId="0" fontId="15" fillId="0" borderId="57" xfId="0" applyFont="1" applyBorder="1" applyAlignment="1">
      <alignment horizontal="center" vertical="center" wrapText="1"/>
    </xf>
    <xf numFmtId="1" fontId="15" fillId="0" borderId="103" xfId="1" applyNumberFormat="1" applyFont="1" applyBorder="1" applyAlignment="1">
      <alignment horizontal="center" vertical="center" wrapText="1"/>
    </xf>
    <xf numFmtId="1" fontId="5" fillId="0" borderId="69" xfId="1" applyNumberFormat="1" applyFont="1" applyBorder="1" applyAlignment="1">
      <alignment horizontal="center" vertical="center"/>
    </xf>
    <xf numFmtId="1" fontId="5" fillId="0" borderId="139" xfId="1" applyNumberFormat="1" applyFont="1" applyBorder="1" applyAlignment="1">
      <alignment horizontal="center" vertical="center"/>
    </xf>
    <xf numFmtId="1" fontId="35" fillId="0" borderId="19" xfId="1" applyNumberFormat="1" applyFont="1" applyBorder="1" applyAlignment="1">
      <alignment horizontal="center" vertical="center" wrapText="1"/>
    </xf>
    <xf numFmtId="1" fontId="35" fillId="0" borderId="103" xfId="1" applyNumberFormat="1" applyFont="1" applyBorder="1" applyAlignment="1">
      <alignment horizontal="center" vertical="center" wrapText="1"/>
    </xf>
    <xf numFmtId="0" fontId="15" fillId="0" borderId="144" xfId="0" applyFont="1" applyBorder="1" applyAlignment="1">
      <alignment vertical="center"/>
    </xf>
    <xf numFmtId="0" fontId="15" fillId="0" borderId="138" xfId="0" applyFont="1" applyBorder="1" applyAlignment="1">
      <alignment vertical="center"/>
    </xf>
    <xf numFmtId="1" fontId="35" fillId="0" borderId="50" xfId="1" applyNumberFormat="1" applyFont="1" applyBorder="1" applyAlignment="1">
      <alignment horizontal="center" vertical="center" wrapText="1"/>
    </xf>
    <xf numFmtId="1" fontId="35" fillId="0" borderId="120" xfId="1" applyNumberFormat="1" applyFont="1" applyBorder="1" applyAlignment="1">
      <alignment horizontal="center" vertical="center" wrapText="1"/>
    </xf>
    <xf numFmtId="1" fontId="5" fillId="0" borderId="107" xfId="1" applyNumberFormat="1" applyFont="1" applyBorder="1" applyAlignment="1">
      <alignment horizontal="center" vertical="center"/>
    </xf>
    <xf numFmtId="0" fontId="15" fillId="0" borderId="147" xfId="0" applyFont="1" applyBorder="1" applyAlignment="1">
      <alignment vertical="center"/>
    </xf>
    <xf numFmtId="1" fontId="35" fillId="0" borderId="107" xfId="1" applyNumberFormat="1" applyFont="1" applyBorder="1" applyAlignment="1">
      <alignment horizontal="center" vertical="center" wrapText="1"/>
    </xf>
    <xf numFmtId="0" fontId="15" fillId="0" borderId="148" xfId="0" applyFont="1" applyBorder="1" applyAlignment="1">
      <alignment horizontal="center" vertical="center"/>
    </xf>
    <xf numFmtId="0" fontId="15" fillId="0" borderId="147" xfId="0" applyFont="1" applyBorder="1" applyAlignment="1">
      <alignment horizontal="center" vertical="center"/>
    </xf>
    <xf numFmtId="1" fontId="35" fillId="0" borderId="119" xfId="1" applyNumberFormat="1" applyFont="1" applyBorder="1" applyAlignment="1">
      <alignment horizontal="center" vertical="center" wrapText="1"/>
    </xf>
    <xf numFmtId="0" fontId="15" fillId="0" borderId="151" xfId="0" applyFont="1" applyBorder="1" applyAlignment="1">
      <alignment horizontal="center" vertical="center"/>
    </xf>
    <xf numFmtId="0" fontId="15" fillId="0" borderId="152" xfId="0" applyFont="1" applyBorder="1" applyAlignment="1">
      <alignment horizontal="center" vertical="center"/>
    </xf>
    <xf numFmtId="1" fontId="35" fillId="0" borderId="153" xfId="1" applyNumberFormat="1" applyFont="1" applyBorder="1" applyAlignment="1">
      <alignment horizontal="center" vertical="center" wrapText="1"/>
    </xf>
    <xf numFmtId="0" fontId="35" fillId="0" borderId="112" xfId="0" applyFont="1" applyBorder="1" applyAlignment="1">
      <alignment horizontal="center" vertical="center" wrapText="1"/>
    </xf>
    <xf numFmtId="0" fontId="35" fillId="0" borderId="140" xfId="0" applyFont="1" applyBorder="1" applyAlignment="1">
      <alignment horizontal="center" vertical="center" wrapText="1"/>
    </xf>
    <xf numFmtId="0" fontId="35" fillId="0" borderId="21" xfId="0" applyFont="1" applyBorder="1" applyAlignment="1">
      <alignment horizontal="center" vertical="center" wrapText="1"/>
    </xf>
    <xf numFmtId="0" fontId="35" fillId="0" borderId="158" xfId="0" applyFont="1" applyBorder="1" applyAlignment="1">
      <alignment horizontal="center" vertical="center" wrapText="1"/>
    </xf>
    <xf numFmtId="0" fontId="35" fillId="0" borderId="113" xfId="0" applyFont="1" applyBorder="1" applyAlignment="1">
      <alignment horizontal="center" vertical="center" wrapText="1"/>
    </xf>
    <xf numFmtId="0" fontId="35" fillId="0" borderId="159" xfId="0" applyFont="1" applyBorder="1" applyAlignment="1">
      <alignment horizontal="center" vertical="center" wrapText="1"/>
    </xf>
    <xf numFmtId="0" fontId="35" fillId="0" borderId="139" xfId="0" applyFont="1" applyBorder="1" applyAlignment="1">
      <alignment horizontal="center" vertical="center" wrapText="1"/>
    </xf>
    <xf numFmtId="1" fontId="35" fillId="0" borderId="140" xfId="4" applyNumberFormat="1" applyFont="1" applyBorder="1" applyAlignment="1">
      <alignment horizontal="center" vertical="center"/>
    </xf>
    <xf numFmtId="1" fontId="35" fillId="0" borderId="158" xfId="4" applyNumberFormat="1" applyFont="1" applyBorder="1" applyAlignment="1">
      <alignment horizontal="center" vertical="center"/>
    </xf>
    <xf numFmtId="0" fontId="15" fillId="9" borderId="164" xfId="0" applyFont="1" applyFill="1" applyBorder="1" applyAlignment="1">
      <alignment horizontal="center" vertical="center" wrapText="1"/>
    </xf>
    <xf numFmtId="0" fontId="15" fillId="9" borderId="24" xfId="0" applyFont="1" applyFill="1" applyBorder="1" applyAlignment="1">
      <alignment horizontal="center" vertical="center" wrapText="1"/>
    </xf>
    <xf numFmtId="0" fontId="15" fillId="9" borderId="26" xfId="0" applyFont="1" applyFill="1" applyBorder="1" applyAlignment="1">
      <alignment horizontal="center" vertical="center" wrapText="1"/>
    </xf>
    <xf numFmtId="0" fontId="15" fillId="10" borderId="164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8" fillId="0" borderId="105" xfId="0" applyFont="1" applyBorder="1" applyAlignment="1">
      <alignment horizontal="center" vertical="center" wrapText="1"/>
    </xf>
    <xf numFmtId="0" fontId="8" fillId="0" borderId="105" xfId="0" applyFont="1" applyFill="1" applyBorder="1" applyAlignment="1">
      <alignment horizontal="center" vertical="center" wrapText="1"/>
    </xf>
    <xf numFmtId="0" fontId="7" fillId="0" borderId="105" xfId="0" applyFont="1" applyBorder="1" applyAlignment="1">
      <alignment horizontal="center" vertical="center" wrapText="1"/>
    </xf>
    <xf numFmtId="0" fontId="8" fillId="0" borderId="105" xfId="0" applyFont="1" applyBorder="1" applyAlignment="1">
      <alignment horizontal="center" vertical="center" wrapText="1"/>
    </xf>
    <xf numFmtId="3" fontId="6" fillId="0" borderId="19" xfId="0" applyNumberFormat="1" applyFont="1" applyBorder="1" applyAlignment="1">
      <alignment horizontal="center" vertical="center"/>
    </xf>
    <xf numFmtId="3" fontId="6" fillId="0" borderId="27" xfId="0" applyNumberFormat="1" applyFont="1" applyBorder="1" applyAlignment="1">
      <alignment horizontal="center" vertical="center"/>
    </xf>
    <xf numFmtId="3" fontId="6" fillId="0" borderId="67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0" borderId="31" xfId="0" applyNumberFormat="1" applyFont="1" applyBorder="1" applyAlignment="1">
      <alignment horizontal="center" vertical="center"/>
    </xf>
    <xf numFmtId="3" fontId="31" fillId="0" borderId="0" xfId="0" applyNumberFormat="1" applyFont="1" applyAlignment="1">
      <alignment horizontal="center"/>
    </xf>
    <xf numFmtId="3" fontId="31" fillId="0" borderId="34" xfId="0" applyNumberFormat="1" applyFont="1" applyBorder="1" applyAlignment="1">
      <alignment horizontal="center"/>
    </xf>
    <xf numFmtId="3" fontId="6" fillId="2" borderId="69" xfId="0" applyNumberFormat="1" applyFont="1" applyFill="1" applyBorder="1" applyAlignment="1">
      <alignment horizontal="center" vertical="center"/>
    </xf>
    <xf numFmtId="0" fontId="30" fillId="0" borderId="79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15" fillId="0" borderId="0" xfId="0" applyFont="1" applyAlignment="1">
      <alignment horizontal="right" vertical="center" wrapText="1"/>
    </xf>
    <xf numFmtId="0" fontId="4" fillId="0" borderId="30" xfId="0" applyFont="1" applyBorder="1" applyAlignment="1">
      <alignment horizontal="center" vertical="center" textRotation="90" wrapText="1"/>
    </xf>
    <xf numFmtId="14" fontId="19" fillId="0" borderId="10" xfId="0" applyNumberFormat="1" applyFont="1" applyBorder="1" applyAlignment="1">
      <alignment horizontal="right" vertical="center" wrapText="1"/>
    </xf>
    <xf numFmtId="0" fontId="0" fillId="0" borderId="155" xfId="0" applyBorder="1"/>
    <xf numFmtId="0" fontId="0" fillId="0" borderId="114" xfId="0" applyBorder="1"/>
    <xf numFmtId="0" fontId="0" fillId="0" borderId="0" xfId="0" applyAlignment="1">
      <alignment vertical="center"/>
    </xf>
    <xf numFmtId="0" fontId="15" fillId="0" borderId="110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/>
    </xf>
    <xf numFmtId="1" fontId="35" fillId="11" borderId="120" xfId="1" applyNumberFormat="1" applyFont="1" applyFill="1" applyBorder="1" applyAlignment="1">
      <alignment horizontal="center" vertical="center" wrapText="1"/>
    </xf>
    <xf numFmtId="1" fontId="35" fillId="11" borderId="0" xfId="1" applyNumberFormat="1" applyFont="1" applyFill="1" applyBorder="1" applyAlignment="1">
      <alignment horizontal="center" vertical="center" wrapText="1"/>
    </xf>
    <xf numFmtId="0" fontId="15" fillId="0" borderId="157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1" fontId="5" fillId="11" borderId="112" xfId="1" applyNumberFormat="1" applyFont="1" applyFill="1" applyBorder="1" applyAlignment="1">
      <alignment horizontal="center" vertical="center"/>
    </xf>
    <xf numFmtId="0" fontId="7" fillId="0" borderId="105" xfId="0" applyFont="1" applyBorder="1" applyAlignment="1">
      <alignment horizontal="center" vertical="center" wrapText="1"/>
    </xf>
    <xf numFmtId="0" fontId="5" fillId="0" borderId="121" xfId="0" applyFont="1" applyBorder="1" applyAlignment="1">
      <alignment horizontal="center"/>
    </xf>
    <xf numFmtId="3" fontId="6" fillId="0" borderId="30" xfId="0" applyNumberFormat="1" applyFont="1" applyFill="1" applyBorder="1" applyAlignment="1">
      <alignment horizontal="center" vertical="center"/>
    </xf>
    <xf numFmtId="3" fontId="32" fillId="0" borderId="0" xfId="0" applyNumberFormat="1" applyFont="1" applyFill="1"/>
    <xf numFmtId="0" fontId="7" fillId="0" borderId="119" xfId="0" applyFont="1" applyBorder="1" applyAlignment="1">
      <alignment horizontal="center" vertical="center" wrapText="1"/>
    </xf>
    <xf numFmtId="0" fontId="0" fillId="0" borderId="11" xfId="0" applyBorder="1"/>
    <xf numFmtId="0" fontId="0" fillId="0" borderId="10" xfId="0" applyBorder="1"/>
    <xf numFmtId="0" fontId="42" fillId="0" borderId="10" xfId="0" applyFont="1" applyBorder="1"/>
    <xf numFmtId="0" fontId="0" fillId="0" borderId="9" xfId="0" applyBorder="1"/>
    <xf numFmtId="0" fontId="0" fillId="0" borderId="7" xfId="0" applyBorder="1"/>
    <xf numFmtId="0" fontId="1" fillId="0" borderId="6" xfId="0" applyFont="1" applyBorder="1"/>
    <xf numFmtId="0" fontId="0" fillId="0" borderId="0" xfId="0" applyBorder="1" applyAlignment="1">
      <alignment horizontal="center"/>
    </xf>
    <xf numFmtId="0" fontId="42" fillId="0" borderId="9" xfId="0" applyFont="1" applyBorder="1"/>
    <xf numFmtId="0" fontId="44" fillId="0" borderId="11" xfId="0" applyFont="1" applyBorder="1"/>
    <xf numFmtId="0" fontId="44" fillId="0" borderId="10" xfId="0" applyFont="1" applyBorder="1"/>
    <xf numFmtId="0" fontId="44" fillId="0" borderId="9" xfId="0" applyFont="1" applyBorder="1"/>
    <xf numFmtId="0" fontId="44" fillId="0" borderId="7" xfId="0" applyFont="1" applyBorder="1"/>
    <xf numFmtId="0" fontId="44" fillId="0" borderId="6" xfId="0" applyFont="1" applyBorder="1"/>
    <xf numFmtId="0" fontId="44" fillId="0" borderId="1" xfId="0" applyFont="1" applyBorder="1"/>
    <xf numFmtId="0" fontId="0" fillId="0" borderId="0" xfId="0" applyAlignment="1">
      <alignment horizontal="left"/>
    </xf>
    <xf numFmtId="3" fontId="6" fillId="0" borderId="19" xfId="0" applyNumberFormat="1" applyFont="1" applyBorder="1" applyAlignment="1">
      <alignment horizontal="center" vertical="center"/>
    </xf>
    <xf numFmtId="3" fontId="6" fillId="0" borderId="31" xfId="0" applyNumberFormat="1" applyFont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 wrapText="1"/>
    </xf>
    <xf numFmtId="0" fontId="0" fillId="0" borderId="0" xfId="0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0" xfId="0" applyFill="1"/>
    <xf numFmtId="0" fontId="0" fillId="0" borderId="6" xfId="0" applyFont="1" applyBorder="1"/>
    <xf numFmtId="166" fontId="0" fillId="0" borderId="0" xfId="0" applyNumberFormat="1" applyFill="1"/>
    <xf numFmtId="1" fontId="5" fillId="0" borderId="169" xfId="1" applyNumberFormat="1" applyFont="1" applyBorder="1" applyAlignment="1">
      <alignment horizontal="center" vertical="center"/>
    </xf>
    <xf numFmtId="1" fontId="5" fillId="0" borderId="19" xfId="1" applyNumberFormat="1" applyFont="1" applyBorder="1" applyAlignment="1">
      <alignment horizontal="center" vertical="center"/>
    </xf>
    <xf numFmtId="1" fontId="5" fillId="0" borderId="87" xfId="1" applyNumberFormat="1" applyFont="1" applyBorder="1" applyAlignment="1">
      <alignment horizontal="center" vertical="center"/>
    </xf>
    <xf numFmtId="1" fontId="5" fillId="0" borderId="108" xfId="1" applyNumberFormat="1" applyFont="1" applyBorder="1" applyAlignment="1">
      <alignment horizontal="center" vertical="center"/>
    </xf>
    <xf numFmtId="1" fontId="5" fillId="0" borderId="115" xfId="1" applyNumberFormat="1" applyFont="1" applyBorder="1" applyAlignment="1">
      <alignment horizontal="center" vertical="center"/>
    </xf>
    <xf numFmtId="1" fontId="5" fillId="0" borderId="110" xfId="1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3" fontId="6" fillId="2" borderId="18" xfId="0" applyNumberFormat="1" applyFont="1" applyFill="1" applyBorder="1" applyAlignment="1">
      <alignment horizontal="center" vertical="center"/>
    </xf>
    <xf numFmtId="3" fontId="33" fillId="0" borderId="0" xfId="0" applyNumberFormat="1" applyFont="1" applyBorder="1"/>
    <xf numFmtId="3" fontId="33" fillId="0" borderId="34" xfId="0" applyNumberFormat="1" applyFont="1" applyBorder="1"/>
    <xf numFmtId="165" fontId="13" fillId="2" borderId="166" xfId="3" applyNumberFormat="1" applyFont="1" applyFill="1" applyBorder="1" applyAlignment="1" applyProtection="1">
      <alignment horizontal="center" vertical="center" wrapText="1"/>
    </xf>
    <xf numFmtId="165" fontId="14" fillId="0" borderId="167" xfId="3" applyNumberFormat="1" applyFont="1" applyFill="1" applyBorder="1" applyAlignment="1" applyProtection="1">
      <alignment horizontal="center" vertical="center" wrapText="1"/>
    </xf>
    <xf numFmtId="165" fontId="34" fillId="0" borderId="167" xfId="3" applyNumberFormat="1" applyFont="1" applyFill="1" applyBorder="1" applyAlignment="1" applyProtection="1">
      <alignment horizontal="center" vertical="center" wrapText="1"/>
    </xf>
    <xf numFmtId="3" fontId="32" fillId="0" borderId="0" xfId="0" applyNumberFormat="1" applyFont="1" applyBorder="1"/>
    <xf numFmtId="14" fontId="19" fillId="0" borderId="10" xfId="0" applyNumberFormat="1" applyFont="1" applyBorder="1" applyAlignment="1">
      <alignment horizontal="right" vertical="center" wrapText="1"/>
    </xf>
    <xf numFmtId="14" fontId="41" fillId="0" borderId="0" xfId="0" applyNumberFormat="1" applyFont="1" applyBorder="1" applyAlignment="1">
      <alignment horizontal="right" vertical="center" wrapText="1"/>
    </xf>
    <xf numFmtId="0" fontId="7" fillId="0" borderId="105" xfId="0" applyFont="1" applyBorder="1" applyAlignment="1">
      <alignment horizontal="center" vertical="center" wrapText="1"/>
    </xf>
    <xf numFmtId="0" fontId="35" fillId="0" borderId="105" xfId="0" applyFont="1" applyBorder="1" applyAlignment="1">
      <alignment horizontal="center" vertical="center" wrapText="1"/>
    </xf>
    <xf numFmtId="0" fontId="30" fillId="0" borderId="107" xfId="0" applyFont="1" applyBorder="1" applyAlignment="1">
      <alignment horizontal="center" vertical="center" textRotation="90"/>
    </xf>
    <xf numFmtId="0" fontId="30" fillId="0" borderId="66" xfId="0" applyFont="1" applyBorder="1" applyAlignment="1">
      <alignment horizontal="center" vertical="center" textRotation="90" wrapText="1"/>
    </xf>
    <xf numFmtId="0" fontId="35" fillId="0" borderId="106" xfId="0" applyFont="1" applyBorder="1" applyAlignment="1">
      <alignment horizontal="center" vertical="center" wrapText="1"/>
    </xf>
    <xf numFmtId="1" fontId="35" fillId="0" borderId="110" xfId="4" applyNumberFormat="1" applyFont="1" applyBorder="1" applyAlignment="1">
      <alignment horizontal="center" vertical="center"/>
    </xf>
    <xf numFmtId="1" fontId="35" fillId="0" borderId="108" xfId="4" applyNumberFormat="1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 wrapText="1"/>
    </xf>
    <xf numFmtId="0" fontId="15" fillId="10" borderId="23" xfId="0" applyFont="1" applyFill="1" applyBorder="1" applyAlignment="1">
      <alignment horizontal="center" vertical="center" wrapText="1"/>
    </xf>
    <xf numFmtId="0" fontId="4" fillId="9" borderId="175" xfId="0" applyFont="1" applyFill="1" applyBorder="1" applyAlignment="1">
      <alignment vertical="center" wrapText="1"/>
    </xf>
    <xf numFmtId="0" fontId="4" fillId="9" borderId="42" xfId="0" applyFont="1" applyFill="1" applyBorder="1" applyAlignment="1">
      <alignment vertical="center" wrapText="1"/>
    </xf>
    <xf numFmtId="0" fontId="4" fillId="9" borderId="47" xfId="0" applyFont="1" applyFill="1" applyBorder="1" applyAlignment="1">
      <alignment vertical="center" wrapText="1"/>
    </xf>
    <xf numFmtId="0" fontId="4" fillId="10" borderId="175" xfId="0" applyFont="1" applyFill="1" applyBorder="1" applyAlignment="1">
      <alignment vertical="center" wrapText="1"/>
    </xf>
    <xf numFmtId="0" fontId="4" fillId="10" borderId="41" xfId="0" applyFont="1" applyFill="1" applyBorder="1" applyAlignment="1">
      <alignment vertical="center" wrapText="1"/>
    </xf>
    <xf numFmtId="0" fontId="8" fillId="3" borderId="37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30" fillId="0" borderId="79" xfId="0" applyFont="1" applyBorder="1" applyAlignment="1">
      <alignment horizontal="center" vertical="center"/>
    </xf>
    <xf numFmtId="0" fontId="7" fillId="0" borderId="10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3" fontId="6" fillId="0" borderId="19" xfId="0" applyNumberFormat="1" applyFont="1" applyBorder="1" applyAlignment="1">
      <alignment horizontal="center" vertical="center"/>
    </xf>
    <xf numFmtId="3" fontId="6" fillId="0" borderId="27" xfId="0" applyNumberFormat="1" applyFont="1" applyBorder="1" applyAlignment="1">
      <alignment horizontal="center" vertical="center"/>
    </xf>
    <xf numFmtId="3" fontId="6" fillId="0" borderId="31" xfId="0" applyNumberFormat="1" applyFont="1" applyBorder="1" applyAlignment="1">
      <alignment horizontal="center" vertical="center"/>
    </xf>
    <xf numFmtId="0" fontId="7" fillId="0" borderId="83" xfId="0" applyFont="1" applyBorder="1" applyAlignment="1">
      <alignment horizontal="center" vertical="center" wrapText="1"/>
    </xf>
    <xf numFmtId="0" fontId="8" fillId="0" borderId="105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3" fontId="6" fillId="0" borderId="119" xfId="0" applyNumberFormat="1" applyFont="1" applyBorder="1" applyAlignment="1">
      <alignment horizontal="center" vertical="center"/>
    </xf>
    <xf numFmtId="3" fontId="6" fillId="0" borderId="120" xfId="0" applyNumberFormat="1" applyFont="1" applyBorder="1" applyAlignment="1">
      <alignment horizontal="center" vertical="center"/>
    </xf>
    <xf numFmtId="3" fontId="6" fillId="0" borderId="121" xfId="0" applyNumberFormat="1" applyFont="1" applyBorder="1" applyAlignment="1">
      <alignment horizontal="center" vertical="center"/>
    </xf>
    <xf numFmtId="0" fontId="5" fillId="0" borderId="121" xfId="0" applyFont="1" applyBorder="1" applyAlignment="1">
      <alignment horizontal="center"/>
    </xf>
    <xf numFmtId="3" fontId="6" fillId="0" borderId="78" xfId="0" applyNumberFormat="1" applyFont="1" applyBorder="1" applyAlignment="1">
      <alignment horizontal="center" vertical="center"/>
    </xf>
    <xf numFmtId="3" fontId="6" fillId="0" borderId="77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93" xfId="0" applyNumberFormat="1" applyFont="1" applyBorder="1" applyAlignment="1">
      <alignment horizontal="center" vertical="center"/>
    </xf>
    <xf numFmtId="3" fontId="6" fillId="0" borderId="92" xfId="0" applyNumberFormat="1" applyFont="1" applyBorder="1" applyAlignment="1">
      <alignment horizontal="center" vertical="center"/>
    </xf>
    <xf numFmtId="0" fontId="30" fillId="0" borderId="79" xfId="0" applyFont="1" applyBorder="1" applyAlignment="1">
      <alignment horizontal="center" vertical="center"/>
    </xf>
    <xf numFmtId="0" fontId="30" fillId="0" borderId="73" xfId="0" applyFont="1" applyBorder="1" applyAlignment="1">
      <alignment horizontal="center" vertical="center"/>
    </xf>
    <xf numFmtId="3" fontId="6" fillId="0" borderId="105" xfId="0" applyNumberFormat="1" applyFont="1" applyBorder="1" applyAlignment="1">
      <alignment horizontal="center" vertical="center"/>
    </xf>
    <xf numFmtId="0" fontId="7" fillId="0" borderId="105" xfId="0" applyFont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67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5" fillId="0" borderId="105" xfId="0" applyFont="1" applyBorder="1" applyAlignment="1">
      <alignment horizontal="center"/>
    </xf>
    <xf numFmtId="14" fontId="18" fillId="0" borderId="0" xfId="0" applyNumberFormat="1" applyFont="1" applyAlignment="1">
      <alignment horizontal="left" vertical="top" wrapText="1"/>
    </xf>
    <xf numFmtId="0" fontId="17" fillId="0" borderId="11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0" fontId="5" fillId="0" borderId="59" xfId="0" applyFont="1" applyBorder="1" applyAlignment="1">
      <alignment horizontal="center"/>
    </xf>
    <xf numFmtId="0" fontId="5" fillId="0" borderId="74" xfId="0" applyFont="1" applyBorder="1" applyAlignment="1">
      <alignment horizontal="center"/>
    </xf>
    <xf numFmtId="0" fontId="5" fillId="0" borderId="73" xfId="0" applyFont="1" applyBorder="1" applyAlignment="1">
      <alignment horizontal="center"/>
    </xf>
    <xf numFmtId="0" fontId="5" fillId="0" borderId="78" xfId="0" applyFont="1" applyBorder="1" applyAlignment="1">
      <alignment horizontal="center"/>
    </xf>
    <xf numFmtId="0" fontId="5" fillId="0" borderId="77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8" fillId="0" borderId="44" xfId="0" applyFont="1" applyFill="1" applyBorder="1" applyAlignment="1">
      <alignment horizontal="center" vertical="center" wrapText="1"/>
    </xf>
    <xf numFmtId="0" fontId="5" fillId="0" borderId="80" xfId="0" applyFont="1" applyBorder="1" applyAlignment="1">
      <alignment horizontal="center"/>
    </xf>
    <xf numFmtId="0" fontId="5" fillId="0" borderId="62" xfId="0" applyFont="1" applyBorder="1" applyAlignment="1">
      <alignment horizontal="center"/>
    </xf>
    <xf numFmtId="0" fontId="8" fillId="0" borderId="46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textRotation="90" wrapText="1"/>
    </xf>
    <xf numFmtId="0" fontId="4" fillId="0" borderId="18" xfId="0" applyFont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center" vertical="center" textRotation="90" wrapText="1"/>
    </xf>
    <xf numFmtId="0" fontId="10" fillId="0" borderId="11" xfId="0" applyFont="1" applyBorder="1" applyAlignment="1">
      <alignment horizontal="center" vertical="center" textRotation="90" wrapText="1"/>
    </xf>
    <xf numFmtId="0" fontId="10" fillId="0" borderId="30" xfId="0" applyFont="1" applyBorder="1" applyAlignment="1">
      <alignment horizontal="center" vertical="center" textRotation="90" wrapText="1"/>
    </xf>
    <xf numFmtId="0" fontId="10" fillId="0" borderId="7" xfId="0" applyFont="1" applyBorder="1" applyAlignment="1">
      <alignment horizontal="center" vertical="center" textRotation="90" wrapText="1"/>
    </xf>
    <xf numFmtId="0" fontId="5" fillId="0" borderId="70" xfId="0" applyFont="1" applyBorder="1" applyAlignment="1">
      <alignment horizontal="center"/>
    </xf>
    <xf numFmtId="0" fontId="5" fillId="0" borderId="60" xfId="0" applyFont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8" fillId="0" borderId="45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3" borderId="37" xfId="0" applyFont="1" applyFill="1" applyBorder="1" applyAlignment="1">
      <alignment horizontal="center" vertical="center" wrapText="1"/>
    </xf>
    <xf numFmtId="0" fontId="8" fillId="3" borderId="36" xfId="0" applyFont="1" applyFill="1" applyBorder="1" applyAlignment="1">
      <alignment horizontal="center" vertical="center" wrapText="1"/>
    </xf>
    <xf numFmtId="3" fontId="6" fillId="0" borderId="75" xfId="0" applyNumberFormat="1" applyFont="1" applyBorder="1" applyAlignment="1">
      <alignment horizontal="center" vertical="center"/>
    </xf>
    <xf numFmtId="3" fontId="6" fillId="0" borderId="61" xfId="0" applyNumberFormat="1" applyFont="1" applyBorder="1" applyAlignment="1">
      <alignment horizontal="center" vertical="center"/>
    </xf>
    <xf numFmtId="0" fontId="19" fillId="5" borderId="105" xfId="0" applyFont="1" applyFill="1" applyBorder="1" applyAlignment="1">
      <alignment horizontal="center" vertical="center" wrapText="1"/>
    </xf>
    <xf numFmtId="0" fontId="0" fillId="5" borderId="105" xfId="0" applyFill="1" applyBorder="1" applyAlignment="1">
      <alignment horizontal="center"/>
    </xf>
    <xf numFmtId="14" fontId="19" fillId="0" borderId="10" xfId="0" applyNumberFormat="1" applyFont="1" applyBorder="1" applyAlignment="1">
      <alignment horizontal="left" vertical="center" wrapText="1"/>
    </xf>
    <xf numFmtId="165" fontId="13" fillId="0" borderId="85" xfId="3" applyNumberFormat="1" applyFont="1" applyFill="1" applyBorder="1" applyAlignment="1" applyProtection="1">
      <alignment horizontal="center" vertical="center" wrapText="1"/>
    </xf>
    <xf numFmtId="165" fontId="13" fillId="0" borderId="103" xfId="3" applyNumberFormat="1" applyFont="1" applyFill="1" applyBorder="1" applyAlignment="1" applyProtection="1">
      <alignment horizontal="center" vertical="center" wrapText="1"/>
    </xf>
    <xf numFmtId="165" fontId="13" fillId="0" borderId="104" xfId="3" applyNumberFormat="1" applyFont="1" applyFill="1" applyBorder="1" applyAlignment="1" applyProtection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165" fontId="13" fillId="0" borderId="40" xfId="3" applyNumberFormat="1" applyFont="1" applyFill="1" applyBorder="1" applyAlignment="1" applyProtection="1">
      <alignment horizontal="center" vertical="center" wrapText="1"/>
    </xf>
    <xf numFmtId="165" fontId="13" fillId="0" borderId="39" xfId="3" applyNumberFormat="1" applyFont="1" applyFill="1" applyBorder="1" applyAlignment="1" applyProtection="1">
      <alignment horizontal="center" vertical="center" wrapText="1"/>
    </xf>
    <xf numFmtId="165" fontId="13" fillId="0" borderId="38" xfId="3" applyNumberFormat="1" applyFont="1" applyFill="1" applyBorder="1" applyAlignment="1" applyProtection="1">
      <alignment horizontal="center" vertical="center" wrapText="1"/>
    </xf>
    <xf numFmtId="3" fontId="6" fillId="0" borderId="96" xfId="0" applyNumberFormat="1" applyFont="1" applyBorder="1" applyAlignment="1">
      <alignment horizontal="center" vertical="center"/>
    </xf>
    <xf numFmtId="3" fontId="6" fillId="0" borderId="95" xfId="0" applyNumberFormat="1" applyFont="1" applyBorder="1" applyAlignment="1">
      <alignment horizontal="center" vertical="center"/>
    </xf>
    <xf numFmtId="3" fontId="6" fillId="0" borderId="74" xfId="0" applyNumberFormat="1" applyFont="1" applyBorder="1" applyAlignment="1">
      <alignment horizontal="center" vertical="center"/>
    </xf>
    <xf numFmtId="3" fontId="6" fillId="0" borderId="73" xfId="0" applyNumberFormat="1" applyFont="1" applyBorder="1" applyAlignment="1">
      <alignment horizontal="center" vertical="center"/>
    </xf>
    <xf numFmtId="3" fontId="6" fillId="0" borderId="70" xfId="0" applyNumberFormat="1" applyFont="1" applyBorder="1" applyAlignment="1">
      <alignment horizontal="center" vertical="center"/>
    </xf>
    <xf numFmtId="3" fontId="6" fillId="0" borderId="60" xfId="0" applyNumberFormat="1" applyFont="1" applyBorder="1" applyAlignment="1">
      <alignment horizontal="center" vertical="center"/>
    </xf>
    <xf numFmtId="3" fontId="6" fillId="0" borderId="80" xfId="0" applyNumberFormat="1" applyFont="1" applyBorder="1" applyAlignment="1">
      <alignment horizontal="center" vertical="center"/>
    </xf>
    <xf numFmtId="3" fontId="6" fillId="0" borderId="62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 wrapText="1"/>
    </xf>
    <xf numFmtId="0" fontId="8" fillId="0" borderId="79" xfId="0" applyFont="1" applyBorder="1" applyAlignment="1">
      <alignment horizontal="center" vertical="center" wrapText="1"/>
    </xf>
    <xf numFmtId="0" fontId="8" fillId="0" borderId="48" xfId="0" applyFont="1" applyBorder="1" applyAlignment="1">
      <alignment horizontal="center" vertical="center" wrapText="1"/>
    </xf>
    <xf numFmtId="0" fontId="5" fillId="0" borderId="99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68" xfId="0" applyFont="1" applyBorder="1" applyAlignment="1">
      <alignment horizontal="center"/>
    </xf>
    <xf numFmtId="165" fontId="13" fillId="0" borderId="66" xfId="3" applyNumberFormat="1" applyFont="1" applyFill="1" applyBorder="1" applyAlignment="1" applyProtection="1">
      <alignment horizontal="center" vertical="center" wrapText="1"/>
    </xf>
    <xf numFmtId="165" fontId="13" fillId="0" borderId="64" xfId="3" applyNumberFormat="1" applyFont="1" applyFill="1" applyBorder="1" applyAlignment="1" applyProtection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8" fillId="3" borderId="34" xfId="0" applyFont="1" applyFill="1" applyBorder="1" applyAlignment="1">
      <alignment horizontal="center" vertical="center" wrapText="1"/>
    </xf>
    <xf numFmtId="0" fontId="5" fillId="0" borderId="100" xfId="0" applyFont="1" applyBorder="1" applyAlignment="1">
      <alignment horizontal="center"/>
    </xf>
    <xf numFmtId="0" fontId="8" fillId="0" borderId="100" xfId="0" applyFont="1" applyBorder="1" applyAlignment="1">
      <alignment horizontal="center" vertical="center" wrapText="1"/>
    </xf>
    <xf numFmtId="0" fontId="7" fillId="0" borderId="100" xfId="0" applyFont="1" applyBorder="1" applyAlignment="1">
      <alignment horizontal="center" vertical="center" wrapText="1"/>
    </xf>
    <xf numFmtId="3" fontId="6" fillId="0" borderId="100" xfId="0" applyNumberFormat="1" applyFont="1" applyBorder="1" applyAlignment="1">
      <alignment horizontal="center" vertical="center"/>
    </xf>
    <xf numFmtId="0" fontId="5" fillId="0" borderId="111" xfId="0" applyFont="1" applyBorder="1" applyAlignment="1">
      <alignment horizontal="center"/>
    </xf>
    <xf numFmtId="0" fontId="5" fillId="0" borderId="112" xfId="0" applyFont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5" fillId="0" borderId="49" xfId="0" applyFont="1" applyBorder="1" applyAlignment="1">
      <alignment horizontal="center"/>
    </xf>
    <xf numFmtId="0" fontId="5" fillId="0" borderId="113" xfId="0" applyFont="1" applyBorder="1" applyAlignment="1">
      <alignment horizontal="center"/>
    </xf>
    <xf numFmtId="0" fontId="7" fillId="0" borderId="76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83" xfId="0" applyFont="1" applyBorder="1" applyAlignment="1">
      <alignment horizontal="center" vertical="center" wrapText="1"/>
    </xf>
    <xf numFmtId="0" fontId="7" fillId="0" borderId="82" xfId="0" applyFont="1" applyBorder="1" applyAlignment="1">
      <alignment horizontal="center" vertical="center" wrapText="1"/>
    </xf>
    <xf numFmtId="0" fontId="7" fillId="0" borderId="81" xfId="0" applyFont="1" applyBorder="1" applyAlignment="1">
      <alignment horizontal="center" vertical="center" wrapText="1"/>
    </xf>
    <xf numFmtId="3" fontId="6" fillId="0" borderId="19" xfId="0" applyNumberFormat="1" applyFont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 wrapText="1"/>
    </xf>
    <xf numFmtId="3" fontId="6" fillId="0" borderId="27" xfId="0" applyNumberFormat="1" applyFont="1" applyBorder="1" applyAlignment="1">
      <alignment horizontal="center" vertical="center"/>
    </xf>
    <xf numFmtId="3" fontId="6" fillId="0" borderId="67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8" fillId="0" borderId="79" xfId="0" applyFont="1" applyFill="1" applyBorder="1" applyAlignment="1">
      <alignment horizontal="center" vertical="center" wrapText="1"/>
    </xf>
    <xf numFmtId="3" fontId="6" fillId="0" borderId="11" xfId="0" applyNumberFormat="1" applyFont="1" applyBorder="1" applyAlignment="1">
      <alignment horizontal="center" vertical="center"/>
    </xf>
    <xf numFmtId="3" fontId="6" fillId="0" borderId="59" xfId="0" applyNumberFormat="1" applyFont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44" xfId="0" applyNumberFormat="1" applyFont="1" applyBorder="1" applyAlignment="1">
      <alignment horizontal="center" vertical="center"/>
    </xf>
    <xf numFmtId="3" fontId="6" fillId="0" borderId="31" xfId="0" applyNumberFormat="1" applyFont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 wrapText="1"/>
    </xf>
    <xf numFmtId="3" fontId="6" fillId="0" borderId="7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3" fontId="6" fillId="0" borderId="41" xfId="0" applyNumberFormat="1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4" fontId="28" fillId="0" borderId="0" xfId="0" applyNumberFormat="1" applyFont="1" applyAlignment="1">
      <alignment horizontal="left" vertical="top" wrapText="1"/>
    </xf>
    <xf numFmtId="0" fontId="8" fillId="3" borderId="84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left"/>
    </xf>
    <xf numFmtId="0" fontId="4" fillId="0" borderId="11" xfId="0" applyFont="1" applyBorder="1" applyAlignment="1">
      <alignment horizontal="center" vertical="center" textRotation="90" wrapText="1"/>
    </xf>
    <xf numFmtId="0" fontId="4" fillId="0" borderId="7" xfId="0" applyFont="1" applyBorder="1" applyAlignment="1">
      <alignment horizontal="center" vertical="center" textRotation="90" wrapText="1"/>
    </xf>
    <xf numFmtId="0" fontId="5" fillId="0" borderId="109" xfId="0" applyFont="1" applyBorder="1" applyAlignment="1">
      <alignment horizontal="center"/>
    </xf>
    <xf numFmtId="0" fontId="8" fillId="0" borderId="54" xfId="0" applyFont="1" applyFill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3" fontId="6" fillId="0" borderId="111" xfId="0" applyNumberFormat="1" applyFont="1" applyBorder="1" applyAlignment="1">
      <alignment horizontal="center" vertical="center"/>
    </xf>
    <xf numFmtId="3" fontId="6" fillId="0" borderId="112" xfId="0" applyNumberFormat="1" applyFont="1" applyBorder="1" applyAlignment="1">
      <alignment horizontal="center" vertical="center"/>
    </xf>
    <xf numFmtId="3" fontId="6" fillId="0" borderId="49" xfId="0" applyNumberFormat="1" applyFont="1" applyBorder="1" applyAlignment="1">
      <alignment horizontal="center" vertical="center"/>
    </xf>
    <xf numFmtId="3" fontId="6" fillId="0" borderId="113" xfId="0" applyNumberFormat="1" applyFont="1" applyBorder="1" applyAlignment="1">
      <alignment horizontal="center" vertical="center"/>
    </xf>
    <xf numFmtId="165" fontId="13" fillId="0" borderId="7" xfId="3" applyNumberFormat="1" applyFont="1" applyFill="1" applyBorder="1" applyAlignment="1" applyProtection="1">
      <alignment horizontal="center" vertical="center" wrapText="1"/>
    </xf>
    <xf numFmtId="165" fontId="13" fillId="0" borderId="1" xfId="3" applyNumberFormat="1" applyFont="1" applyFill="1" applyBorder="1" applyAlignment="1" applyProtection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8" fillId="3" borderId="56" xfId="0" applyFont="1" applyFill="1" applyBorder="1" applyAlignment="1">
      <alignment horizontal="center" vertical="center" wrapText="1"/>
    </xf>
    <xf numFmtId="165" fontId="13" fillId="0" borderId="105" xfId="3" applyNumberFormat="1" applyFont="1" applyFill="1" applyBorder="1" applyAlignment="1" applyProtection="1">
      <alignment horizontal="center" vertical="center" wrapText="1"/>
    </xf>
    <xf numFmtId="0" fontId="5" fillId="0" borderId="29" xfId="0" applyFont="1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8" fillId="0" borderId="20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8" fillId="0" borderId="68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0" fillId="0" borderId="106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5" borderId="106" xfId="0" applyFill="1" applyBorder="1" applyAlignment="1">
      <alignment horizontal="center" vertical="center"/>
    </xf>
    <xf numFmtId="0" fontId="0" fillId="5" borderId="100" xfId="0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4" fillId="0" borderId="30" xfId="0" applyFont="1" applyBorder="1" applyAlignment="1">
      <alignment horizontal="center" vertical="center" textRotation="90" wrapText="1"/>
    </xf>
    <xf numFmtId="0" fontId="5" fillId="0" borderId="21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8" fillId="0" borderId="24" xfId="0" applyFont="1" applyFill="1" applyBorder="1" applyAlignment="1">
      <alignment horizontal="center" vertical="center" wrapText="1"/>
    </xf>
    <xf numFmtId="0" fontId="8" fillId="0" borderId="69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center" vertical="center"/>
    </xf>
    <xf numFmtId="0" fontId="8" fillId="0" borderId="68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8" fillId="0" borderId="105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116" xfId="0" applyFont="1" applyBorder="1" applyAlignment="1">
      <alignment horizontal="center" vertical="center"/>
    </xf>
    <xf numFmtId="0" fontId="5" fillId="0" borderId="117" xfId="0" applyFont="1" applyBorder="1" applyAlignment="1">
      <alignment horizontal="center" vertical="center"/>
    </xf>
    <xf numFmtId="0" fontId="5" fillId="0" borderId="118" xfId="0" applyFont="1" applyBorder="1" applyAlignment="1">
      <alignment horizontal="center" vertical="center"/>
    </xf>
    <xf numFmtId="0" fontId="5" fillId="0" borderId="1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14" fontId="18" fillId="0" borderId="0" xfId="0" applyNumberFormat="1" applyFont="1" applyAlignment="1">
      <alignment horizontal="left" vertical="center" wrapText="1"/>
    </xf>
    <xf numFmtId="0" fontId="5" fillId="0" borderId="16" xfId="0" applyFont="1" applyBorder="1" applyAlignment="1">
      <alignment horizontal="center"/>
    </xf>
    <xf numFmtId="0" fontId="8" fillId="0" borderId="15" xfId="0" applyFont="1" applyFill="1" applyBorder="1" applyAlignment="1">
      <alignment horizontal="center" vertical="center" wrapText="1"/>
    </xf>
    <xf numFmtId="0" fontId="6" fillId="0" borderId="105" xfId="0" applyFont="1" applyBorder="1" applyAlignment="1">
      <alignment horizontal="center" vertical="center"/>
    </xf>
    <xf numFmtId="0" fontId="8" fillId="0" borderId="68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/>
    </xf>
    <xf numFmtId="0" fontId="8" fillId="0" borderId="20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5" fillId="0" borderId="101" xfId="0" applyFont="1" applyBorder="1" applyAlignment="1">
      <alignment horizontal="center"/>
    </xf>
    <xf numFmtId="3" fontId="31" fillId="0" borderId="10" xfId="0" applyNumberFormat="1" applyFont="1" applyBorder="1" applyAlignment="1">
      <alignment horizontal="center"/>
    </xf>
    <xf numFmtId="3" fontId="31" fillId="0" borderId="9" xfId="0" applyNumberFormat="1" applyFont="1" applyBorder="1" applyAlignment="1">
      <alignment horizontal="center"/>
    </xf>
    <xf numFmtId="3" fontId="31" fillId="0" borderId="0" xfId="0" applyNumberFormat="1" applyFont="1" applyBorder="1" applyAlignment="1">
      <alignment horizontal="center"/>
    </xf>
    <xf numFmtId="3" fontId="31" fillId="0" borderId="34" xfId="0" applyNumberFormat="1" applyFont="1" applyBorder="1" applyAlignment="1">
      <alignment horizontal="center"/>
    </xf>
    <xf numFmtId="3" fontId="31" fillId="0" borderId="6" xfId="0" applyNumberFormat="1" applyFont="1" applyBorder="1" applyAlignment="1">
      <alignment horizontal="center"/>
    </xf>
    <xf numFmtId="3" fontId="31" fillId="0" borderId="1" xfId="0" applyNumberFormat="1" applyFont="1" applyBorder="1" applyAlignment="1">
      <alignment horizontal="center"/>
    </xf>
    <xf numFmtId="165" fontId="34" fillId="0" borderId="66" xfId="3" applyNumberFormat="1" applyFont="1" applyFill="1" applyBorder="1" applyAlignment="1" applyProtection="1">
      <alignment horizontal="center" vertical="center" wrapText="1"/>
    </xf>
    <xf numFmtId="165" fontId="34" fillId="0" borderId="64" xfId="3" applyNumberFormat="1" applyFont="1" applyFill="1" applyBorder="1" applyAlignment="1" applyProtection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36" xfId="0" applyFont="1" applyFill="1" applyBorder="1" applyAlignment="1">
      <alignment horizontal="center" vertical="center" wrapText="1"/>
    </xf>
    <xf numFmtId="0" fontId="15" fillId="3" borderId="35" xfId="0" applyFont="1" applyFill="1" applyBorder="1" applyAlignment="1">
      <alignment horizontal="center" vertical="center" wrapText="1"/>
    </xf>
    <xf numFmtId="0" fontId="42" fillId="0" borderId="106" xfId="0" applyFont="1" applyBorder="1" applyAlignment="1">
      <alignment horizontal="center" vertical="center" wrapText="1"/>
    </xf>
    <xf numFmtId="0" fontId="42" fillId="0" borderId="100" xfId="0" applyFont="1" applyBorder="1" applyAlignment="1">
      <alignment horizontal="center" vertical="center" wrapText="1"/>
    </xf>
    <xf numFmtId="0" fontId="0" fillId="5" borderId="106" xfId="0" applyFill="1" applyBorder="1" applyAlignment="1">
      <alignment horizontal="center"/>
    </xf>
    <xf numFmtId="0" fontId="0" fillId="5" borderId="100" xfId="0" applyFill="1" applyBorder="1" applyAlignment="1">
      <alignment horizontal="center"/>
    </xf>
    <xf numFmtId="14" fontId="19" fillId="0" borderId="10" xfId="0" applyNumberFormat="1" applyFont="1" applyBorder="1" applyAlignment="1">
      <alignment horizontal="right" vertical="center" wrapText="1"/>
    </xf>
    <xf numFmtId="0" fontId="19" fillId="0" borderId="10" xfId="0" applyFont="1" applyBorder="1" applyAlignment="1">
      <alignment horizontal="left" vertical="center" wrapText="1"/>
    </xf>
    <xf numFmtId="0" fontId="19" fillId="6" borderId="10" xfId="0" applyFont="1" applyFill="1" applyBorder="1" applyAlignment="1">
      <alignment horizontal="left" vertical="center" wrapText="1"/>
    </xf>
    <xf numFmtId="0" fontId="8" fillId="0" borderId="83" xfId="0" applyFont="1" applyBorder="1" applyAlignment="1">
      <alignment horizontal="center" vertical="center" textRotation="90" wrapText="1"/>
    </xf>
    <xf numFmtId="0" fontId="8" fillId="0" borderId="81" xfId="0" applyFont="1" applyBorder="1" applyAlignment="1">
      <alignment horizontal="center" vertical="center" textRotation="90" wrapText="1"/>
    </xf>
    <xf numFmtId="0" fontId="4" fillId="0" borderId="62" xfId="0" applyFont="1" applyBorder="1" applyAlignment="1">
      <alignment horizontal="center" vertical="center" textRotation="90" wrapText="1"/>
    </xf>
    <xf numFmtId="0" fontId="4" fillId="0" borderId="24" xfId="0" applyFont="1" applyBorder="1" applyAlignment="1">
      <alignment horizontal="center" vertical="center" textRotation="90" wrapText="1"/>
    </xf>
    <xf numFmtId="0" fontId="4" fillId="0" borderId="60" xfId="0" applyFont="1" applyBorder="1" applyAlignment="1">
      <alignment horizontal="center" vertical="center" textRotation="90" wrapText="1"/>
    </xf>
    <xf numFmtId="0" fontId="4" fillId="0" borderId="15" xfId="0" applyFont="1" applyBorder="1" applyAlignment="1">
      <alignment horizontal="center" vertical="center" textRotation="90" wrapText="1"/>
    </xf>
    <xf numFmtId="0" fontId="8" fillId="0" borderId="49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00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14" fontId="15" fillId="4" borderId="0" xfId="0" applyNumberFormat="1" applyFont="1" applyFill="1" applyAlignment="1">
      <alignment horizontal="left" vertical="center" wrapText="1"/>
    </xf>
    <xf numFmtId="165" fontId="13" fillId="2" borderId="109" xfId="3" applyNumberFormat="1" applyFont="1" applyFill="1" applyBorder="1" applyAlignment="1" applyProtection="1">
      <alignment horizontal="center" vertical="center" wrapText="1"/>
    </xf>
    <xf numFmtId="165" fontId="13" fillId="2" borderId="103" xfId="3" applyNumberFormat="1" applyFont="1" applyFill="1" applyBorder="1" applyAlignment="1" applyProtection="1">
      <alignment horizontal="center" vertical="center" wrapText="1"/>
    </xf>
    <xf numFmtId="165" fontId="13" fillId="2" borderId="104" xfId="3" applyNumberFormat="1" applyFont="1" applyFill="1" applyBorder="1" applyAlignment="1" applyProtection="1">
      <alignment horizontal="center" vertical="center" wrapText="1"/>
    </xf>
    <xf numFmtId="165" fontId="34" fillId="0" borderId="40" xfId="3" applyNumberFormat="1" applyFont="1" applyFill="1" applyBorder="1" applyAlignment="1" applyProtection="1">
      <alignment horizontal="center" vertical="center" wrapText="1"/>
    </xf>
    <xf numFmtId="165" fontId="34" fillId="0" borderId="39" xfId="3" applyNumberFormat="1" applyFont="1" applyFill="1" applyBorder="1" applyAlignment="1" applyProtection="1">
      <alignment horizontal="center" vertical="center" wrapText="1"/>
    </xf>
    <xf numFmtId="165" fontId="34" fillId="0" borderId="38" xfId="3" applyNumberFormat="1" applyFont="1" applyFill="1" applyBorder="1" applyAlignment="1" applyProtection="1">
      <alignment horizontal="center" vertical="center" wrapText="1"/>
    </xf>
    <xf numFmtId="0" fontId="30" fillId="0" borderId="105" xfId="0" applyFont="1" applyBorder="1" applyAlignment="1">
      <alignment horizontal="center" vertical="center" textRotation="90"/>
    </xf>
    <xf numFmtId="0" fontId="29" fillId="0" borderId="32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29" fillId="0" borderId="33" xfId="0" applyFont="1" applyBorder="1" applyAlignment="1">
      <alignment horizontal="center" vertical="center"/>
    </xf>
    <xf numFmtId="0" fontId="25" fillId="0" borderId="105" xfId="0" applyFont="1" applyBorder="1" applyAlignment="1">
      <alignment horizontal="center" vertical="center"/>
    </xf>
    <xf numFmtId="0" fontId="10" fillId="7" borderId="37" xfId="0" applyFont="1" applyFill="1" applyBorder="1" applyAlignment="1">
      <alignment horizontal="center" vertical="center" wrapText="1" indent="1"/>
    </xf>
    <xf numFmtId="0" fontId="10" fillId="7" borderId="36" xfId="0" applyFont="1" applyFill="1" applyBorder="1" applyAlignment="1">
      <alignment horizontal="center" vertical="center" wrapText="1" indent="1"/>
    </xf>
    <xf numFmtId="0" fontId="10" fillId="7" borderId="35" xfId="0" applyFont="1" applyFill="1" applyBorder="1" applyAlignment="1">
      <alignment horizontal="center" vertical="center" wrapText="1" indent="1"/>
    </xf>
    <xf numFmtId="0" fontId="4" fillId="0" borderId="83" xfId="0" applyFont="1" applyBorder="1" applyAlignment="1">
      <alignment horizontal="center" vertical="center" textRotation="90" wrapText="1"/>
    </xf>
    <xf numFmtId="0" fontId="4" fillId="0" borderId="82" xfId="0" applyFont="1" applyBorder="1" applyAlignment="1">
      <alignment horizontal="center" vertical="center" textRotation="90" wrapText="1"/>
    </xf>
    <xf numFmtId="0" fontId="4" fillId="0" borderId="76" xfId="0" applyFont="1" applyBorder="1" applyAlignment="1">
      <alignment horizontal="center" vertical="center" textRotation="90" wrapText="1"/>
    </xf>
    <xf numFmtId="0" fontId="5" fillId="0" borderId="20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8" fillId="0" borderId="11" xfId="0" applyFont="1" applyBorder="1" applyAlignment="1">
      <alignment horizontal="center" vertical="center" textRotation="90" wrapText="1"/>
    </xf>
    <xf numFmtId="0" fontId="8" fillId="0" borderId="10" xfId="0" applyFont="1" applyBorder="1" applyAlignment="1">
      <alignment horizontal="center" vertical="center" textRotation="90" wrapText="1"/>
    </xf>
    <xf numFmtId="0" fontId="8" fillId="0" borderId="9" xfId="0" applyFont="1" applyBorder="1" applyAlignment="1">
      <alignment horizontal="center" vertical="center" textRotation="90" wrapText="1"/>
    </xf>
    <xf numFmtId="0" fontId="8" fillId="0" borderId="30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 textRotation="90" wrapText="1"/>
    </xf>
    <xf numFmtId="0" fontId="8" fillId="0" borderId="34" xfId="0" applyFont="1" applyBorder="1" applyAlignment="1">
      <alignment horizontal="center" vertical="center" textRotation="90" wrapText="1"/>
    </xf>
    <xf numFmtId="0" fontId="8" fillId="0" borderId="7" xfId="0" applyFont="1" applyBorder="1" applyAlignment="1">
      <alignment horizontal="center" vertical="center" textRotation="90" wrapText="1"/>
    </xf>
    <xf numFmtId="0" fontId="8" fillId="0" borderId="6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 wrapText="1"/>
    </xf>
    <xf numFmtId="0" fontId="8" fillId="0" borderId="71" xfId="0" applyFont="1" applyBorder="1" applyAlignment="1">
      <alignment horizontal="center" vertical="center" textRotation="90" wrapText="1"/>
    </xf>
    <xf numFmtId="0" fontId="8" fillId="0" borderId="82" xfId="0" applyFont="1" applyBorder="1" applyAlignment="1">
      <alignment horizontal="center" vertical="center" textRotation="90" wrapText="1"/>
    </xf>
    <xf numFmtId="0" fontId="4" fillId="0" borderId="73" xfId="0" applyFont="1" applyBorder="1" applyAlignment="1">
      <alignment horizontal="center" vertical="center" textRotation="90" wrapText="1"/>
    </xf>
    <xf numFmtId="0" fontId="4" fillId="0" borderId="32" xfId="0" applyFont="1" applyBorder="1" applyAlignment="1">
      <alignment horizontal="center" vertical="center" textRotation="90" wrapText="1"/>
    </xf>
    <xf numFmtId="0" fontId="4" fillId="0" borderId="61" xfId="0" applyFont="1" applyBorder="1" applyAlignment="1">
      <alignment horizontal="center" vertical="center" textRotation="90" wrapText="1"/>
    </xf>
    <xf numFmtId="0" fontId="4" fillId="0" borderId="20" xfId="0" applyFont="1" applyBorder="1" applyAlignment="1">
      <alignment horizontal="center" vertical="center" textRotation="90" wrapText="1"/>
    </xf>
    <xf numFmtId="0" fontId="4" fillId="0" borderId="81" xfId="0" applyFont="1" applyBorder="1" applyAlignment="1">
      <alignment horizontal="center" vertical="center" textRotation="90" wrapText="1"/>
    </xf>
    <xf numFmtId="0" fontId="8" fillId="0" borderId="15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72" xfId="0" applyFont="1" applyBorder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4" fillId="0" borderId="165" xfId="0" applyFont="1" applyBorder="1" applyAlignment="1">
      <alignment horizontal="center" vertical="center" textRotation="90" wrapText="1"/>
    </xf>
    <xf numFmtId="0" fontId="29" fillId="0" borderId="112" xfId="0" applyFont="1" applyBorder="1" applyAlignment="1">
      <alignment horizontal="center" vertical="center"/>
    </xf>
    <xf numFmtId="0" fontId="29" fillId="0" borderId="111" xfId="0" applyFont="1" applyBorder="1" applyAlignment="1">
      <alignment horizontal="center" vertical="center"/>
    </xf>
    <xf numFmtId="0" fontId="29" fillId="0" borderId="56" xfId="0" applyFont="1" applyBorder="1" applyAlignment="1">
      <alignment horizontal="center" vertical="center"/>
    </xf>
    <xf numFmtId="0" fontId="29" fillId="0" borderId="68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2" xfId="0" applyBorder="1" applyAlignment="1">
      <alignment horizontal="center"/>
    </xf>
    <xf numFmtId="0" fontId="5" fillId="0" borderId="170" xfId="0" applyFont="1" applyBorder="1" applyAlignment="1">
      <alignment horizontal="center"/>
    </xf>
    <xf numFmtId="0" fontId="5" fillId="0" borderId="102" xfId="0" applyFont="1" applyBorder="1" applyAlignment="1">
      <alignment horizontal="center"/>
    </xf>
    <xf numFmtId="3" fontId="31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44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3" fontId="6" fillId="2" borderId="46" xfId="0" applyNumberFormat="1" applyFont="1" applyFill="1" applyBorder="1" applyAlignment="1">
      <alignment horizontal="center" vertical="center"/>
    </xf>
    <xf numFmtId="3" fontId="6" fillId="2" borderId="69" xfId="0" applyNumberFormat="1" applyFont="1" applyFill="1" applyBorder="1" applyAlignment="1">
      <alignment horizontal="center" vertical="center"/>
    </xf>
    <xf numFmtId="3" fontId="6" fillId="2" borderId="43" xfId="0" applyNumberFormat="1" applyFont="1" applyFill="1" applyBorder="1" applyAlignment="1">
      <alignment horizontal="center" vertical="center"/>
    </xf>
    <xf numFmtId="3" fontId="6" fillId="0" borderId="45" xfId="0" applyNumberFormat="1" applyFont="1" applyBorder="1" applyAlignment="1">
      <alignment horizontal="center" vertical="center"/>
    </xf>
    <xf numFmtId="3" fontId="6" fillId="0" borderId="68" xfId="0" applyNumberFormat="1" applyFont="1" applyBorder="1" applyAlignment="1">
      <alignment horizontal="center" vertical="center"/>
    </xf>
    <xf numFmtId="3" fontId="6" fillId="0" borderId="42" xfId="0" applyNumberFormat="1" applyFont="1" applyBorder="1" applyAlignment="1">
      <alignment horizontal="center" vertical="center"/>
    </xf>
    <xf numFmtId="3" fontId="6" fillId="2" borderId="45" xfId="0" applyNumberFormat="1" applyFont="1" applyFill="1" applyBorder="1" applyAlignment="1">
      <alignment horizontal="center" vertical="center"/>
    </xf>
    <xf numFmtId="3" fontId="6" fillId="2" borderId="68" xfId="0" applyNumberFormat="1" applyFont="1" applyFill="1" applyBorder="1" applyAlignment="1">
      <alignment horizontal="center" vertical="center"/>
    </xf>
    <xf numFmtId="3" fontId="6" fillId="2" borderId="42" xfId="0" applyNumberFormat="1" applyFont="1" applyFill="1" applyBorder="1" applyAlignment="1">
      <alignment horizontal="center" vertical="center"/>
    </xf>
    <xf numFmtId="0" fontId="5" fillId="0" borderId="98" xfId="0" applyFont="1" applyBorder="1" applyAlignment="1">
      <alignment horizontal="center" vertical="center"/>
    </xf>
    <xf numFmtId="0" fontId="5" fillId="0" borderId="97" xfId="0" applyFont="1" applyBorder="1" applyAlignment="1">
      <alignment horizontal="center" vertical="center"/>
    </xf>
    <xf numFmtId="14" fontId="19" fillId="0" borderId="0" xfId="0" applyNumberFormat="1" applyFont="1" applyAlignment="1">
      <alignment horizontal="center" vertical="center" wrapText="1"/>
    </xf>
    <xf numFmtId="0" fontId="42" fillId="0" borderId="106" xfId="0" applyFont="1" applyBorder="1" applyAlignment="1">
      <alignment horizontal="center" wrapText="1"/>
    </xf>
    <xf numFmtId="0" fontId="42" fillId="0" borderId="100" xfId="0" applyFont="1" applyBorder="1" applyAlignment="1">
      <alignment horizontal="center" wrapText="1"/>
    </xf>
    <xf numFmtId="0" fontId="0" fillId="6" borderId="106" xfId="0" applyFill="1" applyBorder="1" applyAlignment="1">
      <alignment horizontal="center"/>
    </xf>
    <xf numFmtId="0" fontId="0" fillId="6" borderId="100" xfId="0" applyFill="1" applyBorder="1" applyAlignment="1">
      <alignment horizontal="center"/>
    </xf>
    <xf numFmtId="0" fontId="4" fillId="0" borderId="63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textRotation="90" wrapText="1"/>
    </xf>
    <xf numFmtId="0" fontId="4" fillId="0" borderId="55" xfId="0" applyFont="1" applyBorder="1" applyAlignment="1">
      <alignment vertical="center" textRotation="90" wrapText="1"/>
    </xf>
    <xf numFmtId="0" fontId="4" fillId="0" borderId="61" xfId="0" applyFont="1" applyBorder="1" applyAlignment="1">
      <alignment vertical="center" textRotation="90" wrapText="1"/>
    </xf>
    <xf numFmtId="0" fontId="4" fillId="0" borderId="53" xfId="0" applyFont="1" applyBorder="1" applyAlignment="1">
      <alignment vertical="center" textRotation="90" wrapText="1"/>
    </xf>
    <xf numFmtId="0" fontId="4" fillId="0" borderId="60" xfId="0" applyFont="1" applyBorder="1" applyAlignment="1">
      <alignment vertical="center" textRotation="90" wrapText="1"/>
    </xf>
    <xf numFmtId="0" fontId="4" fillId="0" borderId="1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3" borderId="69" xfId="0" applyFont="1" applyFill="1" applyBorder="1" applyAlignment="1">
      <alignment horizontal="center" vertical="center" wrapText="1"/>
    </xf>
    <xf numFmtId="0" fontId="4" fillId="3" borderId="44" xfId="0" applyFont="1" applyFill="1" applyBorder="1" applyAlignment="1">
      <alignment horizontal="center" vertical="center" wrapText="1"/>
    </xf>
    <xf numFmtId="0" fontId="4" fillId="3" borderId="67" xfId="0" applyFont="1" applyFill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5" fillId="0" borderId="0" xfId="0" applyFont="1" applyAlignment="1">
      <alignment horizontal="right" vertical="center" wrapText="1"/>
    </xf>
    <xf numFmtId="0" fontId="35" fillId="0" borderId="6" xfId="0" applyFont="1" applyBorder="1" applyAlignment="1">
      <alignment horizontal="right" vertical="center" wrapText="1"/>
    </xf>
    <xf numFmtId="0" fontId="38" fillId="0" borderId="10" xfId="0" applyFont="1" applyBorder="1" applyAlignment="1">
      <alignment horizontal="left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0" fillId="0" borderId="106" xfId="0" applyFont="1" applyBorder="1" applyAlignment="1">
      <alignment horizontal="center" vertical="center" wrapText="1"/>
    </xf>
    <xf numFmtId="0" fontId="10" fillId="0" borderId="100" xfId="0" applyFont="1" applyBorder="1" applyAlignment="1">
      <alignment horizontal="center" vertical="center" wrapText="1"/>
    </xf>
    <xf numFmtId="0" fontId="5" fillId="5" borderId="106" xfId="0" applyFont="1" applyFill="1" applyBorder="1" applyAlignment="1">
      <alignment horizontal="center"/>
    </xf>
    <xf numFmtId="0" fontId="5" fillId="5" borderId="100" xfId="0" applyFont="1" applyFill="1" applyBorder="1" applyAlignment="1">
      <alignment horizontal="center"/>
    </xf>
    <xf numFmtId="0" fontId="4" fillId="0" borderId="25" xfId="0" applyFont="1" applyBorder="1" applyAlignment="1">
      <alignment horizontal="center" vertical="center" textRotation="90" wrapText="1"/>
    </xf>
    <xf numFmtId="0" fontId="4" fillId="0" borderId="21" xfId="0" applyFont="1" applyBorder="1" applyAlignment="1">
      <alignment horizontal="center" vertical="center" textRotation="90" wrapText="1"/>
    </xf>
    <xf numFmtId="0" fontId="4" fillId="0" borderId="16" xfId="0" applyFont="1" applyBorder="1" applyAlignment="1">
      <alignment horizontal="center" vertical="center" textRotation="90" wrapText="1"/>
    </xf>
    <xf numFmtId="0" fontId="30" fillId="0" borderId="51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/>
    </xf>
    <xf numFmtId="0" fontId="42" fillId="0" borderId="35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 textRotation="90" wrapText="1"/>
    </xf>
    <xf numFmtId="0" fontId="8" fillId="0" borderId="43" xfId="0" applyFont="1" applyBorder="1" applyAlignment="1">
      <alignment horizontal="center" vertical="center" textRotation="90" wrapText="1"/>
    </xf>
    <xf numFmtId="0" fontId="10" fillId="0" borderId="107" xfId="0" applyFont="1" applyBorder="1" applyAlignment="1">
      <alignment horizontal="center" vertical="center" textRotation="90" wrapText="1"/>
    </xf>
    <xf numFmtId="0" fontId="10" fillId="0" borderId="66" xfId="0" applyFont="1" applyBorder="1" applyAlignment="1">
      <alignment horizontal="center" vertical="center" textRotation="90" wrapText="1"/>
    </xf>
    <xf numFmtId="0" fontId="35" fillId="0" borderId="105" xfId="0" applyFont="1" applyBorder="1" applyAlignment="1">
      <alignment horizontal="center" vertical="center" wrapText="1"/>
    </xf>
    <xf numFmtId="0" fontId="35" fillId="0" borderId="108" xfId="0" applyFont="1" applyBorder="1" applyAlignment="1">
      <alignment horizontal="center" vertical="center" wrapText="1"/>
    </xf>
    <xf numFmtId="0" fontId="35" fillId="0" borderId="65" xfId="0" applyFont="1" applyBorder="1" applyAlignment="1">
      <alignment horizontal="center" vertical="center" wrapText="1"/>
    </xf>
    <xf numFmtId="0" fontId="35" fillId="0" borderId="64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30" fillId="0" borderId="69" xfId="0" applyFont="1" applyBorder="1" applyAlignment="1">
      <alignment horizontal="center" vertical="center" textRotation="90"/>
    </xf>
    <xf numFmtId="0" fontId="30" fillId="0" borderId="50" xfId="0" applyFont="1" applyBorder="1" applyAlignment="1">
      <alignment horizontal="center" vertical="center" textRotation="90"/>
    </xf>
    <xf numFmtId="0" fontId="15" fillId="0" borderId="105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4" fillId="0" borderId="105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/>
    </xf>
    <xf numFmtId="0" fontId="15" fillId="0" borderId="56" xfId="0" applyFont="1" applyBorder="1" applyAlignment="1">
      <alignment horizontal="center" vertical="center"/>
    </xf>
    <xf numFmtId="0" fontId="15" fillId="0" borderId="49" xfId="0" applyFont="1" applyBorder="1" applyAlignment="1">
      <alignment horizontal="center" vertical="center"/>
    </xf>
    <xf numFmtId="0" fontId="15" fillId="0" borderId="113" xfId="0" applyFont="1" applyBorder="1" applyAlignment="1">
      <alignment horizontal="center" vertical="center"/>
    </xf>
    <xf numFmtId="0" fontId="5" fillId="0" borderId="103" xfId="0" applyFont="1" applyBorder="1" applyAlignment="1">
      <alignment horizontal="center"/>
    </xf>
    <xf numFmtId="0" fontId="5" fillId="0" borderId="106" xfId="0" applyFont="1" applyBorder="1" applyAlignment="1">
      <alignment horizontal="center"/>
    </xf>
    <xf numFmtId="0" fontId="15" fillId="0" borderId="106" xfId="0" applyFont="1" applyBorder="1" applyAlignment="1">
      <alignment horizontal="center" vertical="center"/>
    </xf>
    <xf numFmtId="0" fontId="8" fillId="0" borderId="107" xfId="0" applyFont="1" applyBorder="1" applyAlignment="1">
      <alignment horizontal="center" vertical="center" wrapText="1"/>
    </xf>
    <xf numFmtId="0" fontId="8" fillId="0" borderId="105" xfId="0" applyFont="1" applyBorder="1" applyAlignment="1">
      <alignment horizontal="center" vertical="center"/>
    </xf>
    <xf numFmtId="0" fontId="15" fillId="0" borderId="105" xfId="0" applyFont="1" applyBorder="1" applyAlignment="1">
      <alignment horizontal="center" vertical="center"/>
    </xf>
    <xf numFmtId="0" fontId="8" fillId="5" borderId="44" xfId="0" applyFont="1" applyFill="1" applyBorder="1" applyAlignment="1">
      <alignment horizontal="center" vertical="center" wrapText="1"/>
    </xf>
    <xf numFmtId="0" fontId="8" fillId="5" borderId="87" xfId="0" applyFont="1" applyFill="1" applyBorder="1" applyAlignment="1">
      <alignment horizontal="center" vertical="center" wrapText="1"/>
    </xf>
    <xf numFmtId="0" fontId="8" fillId="0" borderId="106" xfId="0" applyFont="1" applyBorder="1" applyAlignment="1">
      <alignment horizontal="center" vertical="center" wrapText="1"/>
    </xf>
    <xf numFmtId="0" fontId="8" fillId="5" borderId="110" xfId="0" applyFont="1" applyFill="1" applyBorder="1" applyAlignment="1">
      <alignment horizontal="center" vertical="center" wrapText="1"/>
    </xf>
    <xf numFmtId="0" fontId="8" fillId="5" borderId="67" xfId="0" applyFont="1" applyFill="1" applyBorder="1" applyAlignment="1">
      <alignment horizontal="center" vertical="center" wrapText="1"/>
    </xf>
    <xf numFmtId="0" fontId="8" fillId="0" borderId="108" xfId="0" applyFont="1" applyBorder="1" applyAlignment="1">
      <alignment horizontal="center" vertical="center" wrapText="1"/>
    </xf>
    <xf numFmtId="0" fontId="5" fillId="0" borderId="114" xfId="0" applyFont="1" applyBorder="1" applyAlignment="1">
      <alignment horizontal="center"/>
    </xf>
    <xf numFmtId="0" fontId="15" fillId="0" borderId="111" xfId="0" applyFont="1" applyBorder="1" applyAlignment="1">
      <alignment horizontal="center" vertical="center"/>
    </xf>
    <xf numFmtId="0" fontId="15" fillId="0" borderId="112" xfId="0" applyFont="1" applyBorder="1" applyAlignment="1">
      <alignment horizontal="center" vertical="center"/>
    </xf>
    <xf numFmtId="0" fontId="38" fillId="0" borderId="0" xfId="0" applyFont="1" applyAlignment="1">
      <alignment horizontal="left" vertical="center" wrapText="1"/>
    </xf>
    <xf numFmtId="0" fontId="8" fillId="0" borderId="123" xfId="0" applyFont="1" applyBorder="1" applyAlignment="1">
      <alignment horizontal="center" vertical="center"/>
    </xf>
    <xf numFmtId="0" fontId="8" fillId="0" borderId="124" xfId="0" applyFont="1" applyBorder="1" applyAlignment="1">
      <alignment horizontal="center" vertical="center"/>
    </xf>
    <xf numFmtId="0" fontId="8" fillId="0" borderId="131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12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27" xfId="0" applyFont="1" applyBorder="1" applyAlignment="1">
      <alignment horizontal="center" vertical="center" wrapText="1"/>
    </xf>
    <xf numFmtId="0" fontId="8" fillId="0" borderId="128" xfId="0" applyFont="1" applyBorder="1" applyAlignment="1">
      <alignment horizontal="center" vertical="center" wrapText="1"/>
    </xf>
    <xf numFmtId="0" fontId="8" fillId="0" borderId="129" xfId="0" applyFont="1" applyBorder="1" applyAlignment="1">
      <alignment horizontal="center" vertical="center" wrapText="1"/>
    </xf>
    <xf numFmtId="0" fontId="8" fillId="0" borderId="130" xfId="0" applyFont="1" applyBorder="1" applyAlignment="1">
      <alignment horizontal="center" vertical="center" wrapText="1"/>
    </xf>
    <xf numFmtId="0" fontId="15" fillId="0" borderId="133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35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143" xfId="0" applyFont="1" applyBorder="1" applyAlignment="1">
      <alignment horizontal="center" vertical="center"/>
    </xf>
    <xf numFmtId="0" fontId="15" fillId="0" borderId="104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09" xfId="0" applyFont="1" applyBorder="1" applyAlignment="1">
      <alignment horizontal="center" vertical="center"/>
    </xf>
    <xf numFmtId="0" fontId="8" fillId="0" borderId="134" xfId="0" applyFont="1" applyBorder="1" applyAlignment="1">
      <alignment horizontal="center" vertical="center"/>
    </xf>
    <xf numFmtId="0" fontId="8" fillId="0" borderId="136" xfId="0" applyFont="1" applyBorder="1" applyAlignment="1">
      <alignment horizontal="center" vertical="center"/>
    </xf>
    <xf numFmtId="1" fontId="15" fillId="0" borderId="46" xfId="1" applyNumberFormat="1" applyFont="1" applyBorder="1" applyAlignment="1">
      <alignment horizontal="center" vertical="center" wrapText="1"/>
    </xf>
    <xf numFmtId="1" fontId="15" fillId="0" borderId="50" xfId="1" applyNumberFormat="1" applyFont="1" applyBorder="1" applyAlignment="1">
      <alignment horizontal="center" vertical="center" wrapText="1"/>
    </xf>
    <xf numFmtId="0" fontId="15" fillId="0" borderId="137" xfId="0" applyFont="1" applyBorder="1" applyAlignment="1">
      <alignment horizontal="center" vertical="center"/>
    </xf>
    <xf numFmtId="0" fontId="15" fillId="0" borderId="138" xfId="0" applyFont="1" applyBorder="1" applyAlignment="1">
      <alignment horizontal="center" vertical="center"/>
    </xf>
    <xf numFmtId="0" fontId="15" fillId="0" borderId="141" xfId="0" applyFont="1" applyBorder="1" applyAlignment="1">
      <alignment horizontal="center" vertical="center"/>
    </xf>
    <xf numFmtId="0" fontId="15" fillId="0" borderId="142" xfId="0" applyFont="1" applyBorder="1" applyAlignment="1">
      <alignment horizontal="center" vertical="center"/>
    </xf>
    <xf numFmtId="1" fontId="35" fillId="0" borderId="115" xfId="1" applyNumberFormat="1" applyFont="1" applyBorder="1" applyAlignment="1">
      <alignment horizontal="center" vertical="center" wrapText="1"/>
    </xf>
    <xf numFmtId="1" fontId="35" fillId="0" borderId="69" xfId="1" applyNumberFormat="1" applyFont="1" applyBorder="1" applyAlignment="1">
      <alignment horizontal="center" vertical="center" wrapText="1"/>
    </xf>
    <xf numFmtId="1" fontId="35" fillId="0" borderId="50" xfId="1" applyNumberFormat="1" applyFont="1" applyBorder="1" applyAlignment="1">
      <alignment horizontal="center" vertical="center" wrapText="1"/>
    </xf>
    <xf numFmtId="0" fontId="15" fillId="0" borderId="145" xfId="0" applyFont="1" applyBorder="1" applyAlignment="1">
      <alignment horizontal="center" vertical="center"/>
    </xf>
    <xf numFmtId="0" fontId="15" fillId="0" borderId="146" xfId="0" applyFont="1" applyBorder="1" applyAlignment="1">
      <alignment horizontal="center" vertical="center"/>
    </xf>
    <xf numFmtId="0" fontId="15" fillId="0" borderId="145" xfId="0" applyFont="1" applyBorder="1" applyAlignment="1">
      <alignment horizontal="center" vertical="center" wrapText="1"/>
    </xf>
    <xf numFmtId="0" fontId="15" fillId="0" borderId="146" xfId="0" applyFont="1" applyBorder="1" applyAlignment="1">
      <alignment horizontal="center" vertical="center" wrapText="1"/>
    </xf>
    <xf numFmtId="0" fontId="15" fillId="0" borderId="149" xfId="0" applyFont="1" applyBorder="1" applyAlignment="1">
      <alignment horizontal="center" vertical="center" wrapText="1"/>
    </xf>
    <xf numFmtId="0" fontId="15" fillId="0" borderId="150" xfId="0" applyFont="1" applyBorder="1" applyAlignment="1">
      <alignment horizontal="center" vertical="center" wrapText="1"/>
    </xf>
    <xf numFmtId="0" fontId="15" fillId="8" borderId="154" xfId="0" applyFont="1" applyFill="1" applyBorder="1" applyAlignment="1">
      <alignment horizontal="center" vertical="center" textRotation="90"/>
    </xf>
    <xf numFmtId="0" fontId="15" fillId="8" borderId="157" xfId="0" applyFont="1" applyFill="1" applyBorder="1" applyAlignment="1">
      <alignment horizontal="center" vertical="center" textRotation="90"/>
    </xf>
    <xf numFmtId="0" fontId="15" fillId="0" borderId="108" xfId="0" applyFont="1" applyBorder="1" applyAlignment="1">
      <alignment horizontal="center" vertical="center"/>
    </xf>
    <xf numFmtId="1" fontId="43" fillId="11" borderId="105" xfId="1" applyNumberFormat="1" applyFont="1" applyFill="1" applyBorder="1" applyAlignment="1">
      <alignment horizontal="center" vertical="center" wrapText="1"/>
    </xf>
    <xf numFmtId="1" fontId="43" fillId="11" borderId="119" xfId="1" applyNumberFormat="1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72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0" borderId="163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74" xfId="0" applyFont="1" applyBorder="1" applyAlignment="1">
      <alignment horizontal="center" vertical="center" wrapText="1"/>
    </xf>
    <xf numFmtId="0" fontId="15" fillId="9" borderId="36" xfId="0" applyFont="1" applyFill="1" applyBorder="1" applyAlignment="1">
      <alignment horizontal="center" vertical="center" wrapText="1"/>
    </xf>
    <xf numFmtId="0" fontId="15" fillId="10" borderId="173" xfId="0" applyFont="1" applyFill="1" applyBorder="1" applyAlignment="1">
      <alignment horizontal="center" vertical="center" wrapText="1"/>
    </xf>
    <xf numFmtId="0" fontId="15" fillId="10" borderId="35" xfId="0" applyFont="1" applyFill="1" applyBorder="1" applyAlignment="1">
      <alignment horizontal="center" vertical="center" wrapText="1"/>
    </xf>
    <xf numFmtId="0" fontId="4" fillId="0" borderId="138" xfId="0" applyFont="1" applyBorder="1" applyAlignment="1">
      <alignment horizontal="center" vertical="center" wrapText="1"/>
    </xf>
    <xf numFmtId="0" fontId="4" fillId="0" borderId="141" xfId="0" applyFont="1" applyBorder="1" applyAlignment="1">
      <alignment horizontal="center" vertical="center" wrapText="1"/>
    </xf>
    <xf numFmtId="0" fontId="4" fillId="0" borderId="142" xfId="0" applyFont="1" applyBorder="1" applyAlignment="1">
      <alignment horizontal="center" vertical="center" wrapText="1"/>
    </xf>
    <xf numFmtId="0" fontId="35" fillId="0" borderId="155" xfId="0" applyFont="1" applyBorder="1" applyAlignment="1">
      <alignment horizontal="center" vertical="center" wrapText="1"/>
    </xf>
    <xf numFmtId="0" fontId="35" fillId="0" borderId="156" xfId="0" applyFont="1" applyBorder="1" applyAlignment="1">
      <alignment horizontal="center" vertical="center" wrapText="1"/>
    </xf>
    <xf numFmtId="0" fontId="35" fillId="0" borderId="75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35" fillId="0" borderId="109" xfId="0" applyFont="1" applyBorder="1" applyAlignment="1">
      <alignment horizontal="center" vertical="center" wrapText="1"/>
    </xf>
    <xf numFmtId="0" fontId="35" fillId="0" borderId="104" xfId="0" applyFont="1" applyBorder="1" applyAlignment="1">
      <alignment horizontal="center" vertical="center" wrapText="1"/>
    </xf>
    <xf numFmtId="0" fontId="15" fillId="0" borderId="110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4" fillId="0" borderId="144" xfId="0" applyFont="1" applyBorder="1" applyAlignment="1">
      <alignment horizontal="center" vertical="center" wrapText="1"/>
    </xf>
    <xf numFmtId="0" fontId="4" fillId="0" borderId="162" xfId="0" applyFont="1" applyBorder="1" applyAlignment="1">
      <alignment horizontal="center" vertical="center" wrapText="1"/>
    </xf>
    <xf numFmtId="0" fontId="35" fillId="0" borderId="160" xfId="0" applyFont="1" applyBorder="1" applyAlignment="1">
      <alignment horizontal="center" vertical="center" wrapText="1"/>
    </xf>
    <xf numFmtId="0" fontId="35" fillId="0" borderId="161" xfId="0" applyFont="1" applyBorder="1" applyAlignment="1">
      <alignment horizontal="center" vertical="center" wrapText="1"/>
    </xf>
    <xf numFmtId="0" fontId="35" fillId="0" borderId="78" xfId="0" applyFont="1" applyBorder="1" applyAlignment="1">
      <alignment horizontal="center" vertical="center" wrapText="1"/>
    </xf>
    <xf numFmtId="0" fontId="35" fillId="0" borderId="171" xfId="0" applyFont="1" applyBorder="1" applyAlignment="1">
      <alignment horizontal="center" vertical="center" wrapText="1"/>
    </xf>
    <xf numFmtId="0" fontId="4" fillId="0" borderId="1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0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0" xfId="0" applyFont="1" applyBorder="1" applyAlignment="1">
      <alignment horizontal="center" vertical="center" textRotation="90" wrapText="1"/>
    </xf>
    <xf numFmtId="0" fontId="24" fillId="0" borderId="59" xfId="0" applyFont="1" applyBorder="1" applyAlignment="1">
      <alignment horizontal="center" vertical="center" textRotation="90" wrapText="1"/>
    </xf>
    <xf numFmtId="0" fontId="24" fillId="0" borderId="30" xfId="0" applyFont="1" applyBorder="1" applyAlignment="1">
      <alignment horizontal="center" vertical="center" textRotation="90" wrapText="1"/>
    </xf>
    <xf numFmtId="0" fontId="24" fillId="0" borderId="0" xfId="0" applyFont="1" applyAlignment="1">
      <alignment horizontal="center" vertical="center" textRotation="90" wrapText="1"/>
    </xf>
    <xf numFmtId="0" fontId="24" fillId="0" borderId="56" xfId="0" applyFont="1" applyBorder="1" applyAlignment="1">
      <alignment horizontal="center" vertical="center" textRotation="90" wrapText="1"/>
    </xf>
    <xf numFmtId="0" fontId="0" fillId="0" borderId="51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0" xfId="0" applyAlignment="1">
      <alignment horizontal="center"/>
    </xf>
    <xf numFmtId="0" fontId="26" fillId="0" borderId="6" xfId="0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0" fontId="41" fillId="0" borderId="10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 wrapText="1"/>
    </xf>
    <xf numFmtId="0" fontId="4" fillId="3" borderId="51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0" fontId="25" fillId="6" borderId="10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6" borderId="0" xfId="0" applyFont="1" applyFill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6" borderId="6" xfId="0" applyFont="1" applyFill="1" applyBorder="1" applyAlignment="1">
      <alignment horizontal="center" vertical="center" wrapText="1"/>
    </xf>
    <xf numFmtId="165" fontId="12" fillId="0" borderId="7" xfId="3" applyNumberFormat="1" applyFont="1" applyFill="1" applyBorder="1" applyAlignment="1" applyProtection="1">
      <alignment horizontal="center" vertical="center" wrapText="1"/>
    </xf>
    <xf numFmtId="165" fontId="12" fillId="0" borderId="1" xfId="3" applyNumberFormat="1" applyFont="1" applyFill="1" applyBorder="1" applyAlignment="1" applyProtection="1">
      <alignment horizontal="center" vertical="center" wrapText="1"/>
    </xf>
    <xf numFmtId="0" fontId="25" fillId="0" borderId="106" xfId="0" applyFont="1" applyBorder="1" applyAlignment="1">
      <alignment horizontal="center" vertical="center" wrapText="1"/>
    </xf>
    <xf numFmtId="0" fontId="25" fillId="0" borderId="100" xfId="0" applyFont="1" applyBorder="1" applyAlignment="1">
      <alignment horizontal="center" vertical="center" wrapText="1"/>
    </xf>
    <xf numFmtId="0" fontId="25" fillId="5" borderId="106" xfId="0" applyFont="1" applyFill="1" applyBorder="1" applyAlignment="1">
      <alignment horizontal="center" vertical="center" wrapText="1"/>
    </xf>
    <xf numFmtId="0" fontId="25" fillId="5" borderId="100" xfId="0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/>
    </xf>
    <xf numFmtId="0" fontId="20" fillId="0" borderId="58" xfId="0" applyFont="1" applyBorder="1" applyAlignment="1">
      <alignment horizontal="center"/>
    </xf>
    <xf numFmtId="0" fontId="20" fillId="0" borderId="57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55" xfId="0" applyFont="1" applyBorder="1" applyAlignment="1">
      <alignment horizontal="center"/>
    </xf>
    <xf numFmtId="0" fontId="20" fillId="0" borderId="54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53" xfId="0" applyFont="1" applyBorder="1" applyAlignment="1">
      <alignment horizontal="center"/>
    </xf>
    <xf numFmtId="0" fontId="20" fillId="0" borderId="52" xfId="0" applyFont="1" applyBorder="1" applyAlignment="1">
      <alignment horizontal="center"/>
    </xf>
    <xf numFmtId="0" fontId="22" fillId="0" borderId="26" xfId="4" applyNumberFormat="1" applyFont="1" applyBorder="1" applyAlignment="1">
      <alignment horizontal="center" vertical="center"/>
    </xf>
    <xf numFmtId="0" fontId="22" fillId="0" borderId="62" xfId="4" applyNumberFormat="1" applyFont="1" applyBorder="1" applyAlignment="1">
      <alignment horizontal="center" vertical="center"/>
    </xf>
    <xf numFmtId="0" fontId="22" fillId="0" borderId="22" xfId="4" applyNumberFormat="1" applyFont="1" applyBorder="1" applyAlignment="1">
      <alignment horizontal="center" vertical="center"/>
    </xf>
    <xf numFmtId="0" fontId="22" fillId="0" borderId="61" xfId="4" applyNumberFormat="1" applyFont="1" applyBorder="1" applyAlignment="1">
      <alignment horizontal="center" vertical="center"/>
    </xf>
    <xf numFmtId="0" fontId="22" fillId="0" borderId="17" xfId="4" applyNumberFormat="1" applyFont="1" applyBorder="1" applyAlignment="1">
      <alignment horizontal="center" vertical="center"/>
    </xf>
    <xf numFmtId="0" fontId="22" fillId="0" borderId="60" xfId="4" applyNumberFormat="1" applyFont="1" applyBorder="1" applyAlignment="1">
      <alignment horizontal="center" vertical="center"/>
    </xf>
    <xf numFmtId="0" fontId="4" fillId="3" borderId="63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48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5" fontId="13" fillId="0" borderId="37" xfId="3" applyNumberFormat="1" applyFont="1" applyFill="1" applyBorder="1" applyAlignment="1" applyProtection="1">
      <alignment horizontal="center" vertical="center" wrapText="1"/>
    </xf>
    <xf numFmtId="165" fontId="13" fillId="0" borderId="35" xfId="3" applyNumberFormat="1" applyFont="1" applyFill="1" applyBorder="1" applyAlignment="1" applyProtection="1">
      <alignment horizontal="center" vertical="center" wrapText="1"/>
    </xf>
    <xf numFmtId="165" fontId="13" fillId="0" borderId="6" xfId="3" applyNumberFormat="1" applyFont="1" applyFill="1" applyBorder="1" applyAlignment="1" applyProtection="1">
      <alignment horizontal="center" vertical="center" wrapText="1"/>
    </xf>
    <xf numFmtId="165" fontId="13" fillId="0" borderId="36" xfId="3" applyNumberFormat="1" applyFont="1" applyFill="1" applyBorder="1" applyAlignment="1" applyProtection="1">
      <alignment horizontal="center" vertical="center" wrapText="1"/>
    </xf>
    <xf numFmtId="165" fontId="13" fillId="12" borderId="7" xfId="3" applyNumberFormat="1" applyFont="1" applyFill="1" applyBorder="1" applyAlignment="1" applyProtection="1">
      <alignment horizontal="center" vertical="center" wrapText="1"/>
    </xf>
    <xf numFmtId="165" fontId="13" fillId="12" borderId="6" xfId="3" applyNumberFormat="1" applyFont="1" applyFill="1" applyBorder="1" applyAlignment="1" applyProtection="1">
      <alignment horizontal="center" vertical="center" wrapText="1"/>
    </xf>
    <xf numFmtId="165" fontId="13" fillId="12" borderId="1" xfId="3" applyNumberFormat="1" applyFont="1" applyFill="1" applyBorder="1" applyAlignment="1" applyProtection="1">
      <alignment horizontal="center" vertical="center" wrapText="1"/>
    </xf>
    <xf numFmtId="0" fontId="7" fillId="0" borderId="70" xfId="0" applyFont="1" applyBorder="1" applyAlignment="1">
      <alignment horizontal="center" vertical="center" wrapText="1"/>
    </xf>
    <xf numFmtId="3" fontId="6" fillId="0" borderId="176" xfId="0" applyNumberFormat="1" applyFont="1" applyBorder="1" applyAlignment="1">
      <alignment horizontal="center" vertical="center"/>
    </xf>
    <xf numFmtId="3" fontId="6" fillId="0" borderId="177" xfId="0" applyNumberFormat="1" applyFont="1" applyBorder="1" applyAlignment="1">
      <alignment horizontal="center" vertical="center"/>
    </xf>
    <xf numFmtId="3" fontId="6" fillId="0" borderId="178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165" fontId="13" fillId="12" borderId="11" xfId="3" applyNumberFormat="1" applyFont="1" applyFill="1" applyBorder="1" applyAlignment="1" applyProtection="1">
      <alignment horizontal="center" vertical="center" wrapText="1"/>
    </xf>
    <xf numFmtId="165" fontId="13" fillId="12" borderId="10" xfId="3" applyNumberFormat="1" applyFont="1" applyFill="1" applyBorder="1" applyAlignment="1" applyProtection="1">
      <alignment horizontal="center" vertical="center" wrapText="1"/>
    </xf>
    <xf numFmtId="165" fontId="13" fillId="0" borderId="12" xfId="3" applyNumberFormat="1" applyFont="1" applyFill="1" applyBorder="1" applyAlignment="1" applyProtection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3" fontId="6" fillId="0" borderId="87" xfId="0" applyNumberFormat="1" applyFont="1" applyBorder="1" applyAlignment="1">
      <alignment horizontal="center" vertical="center"/>
    </xf>
    <xf numFmtId="3" fontId="6" fillId="0" borderId="108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8" fillId="0" borderId="65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3" fontId="6" fillId="0" borderId="5" xfId="0" applyNumberFormat="1" applyFont="1" applyBorder="1" applyAlignment="1">
      <alignment horizontal="center" vertical="center"/>
    </xf>
    <xf numFmtId="3" fontId="6" fillId="0" borderId="179" xfId="0" applyNumberFormat="1" applyFont="1" applyBorder="1" applyAlignment="1">
      <alignment horizontal="center" vertical="center"/>
    </xf>
    <xf numFmtId="3" fontId="6" fillId="0" borderId="64" xfId="0" applyNumberFormat="1" applyFont="1" applyBorder="1" applyAlignment="1">
      <alignment horizontal="center" vertical="center"/>
    </xf>
    <xf numFmtId="0" fontId="7" fillId="0" borderId="180" xfId="0" applyFont="1" applyBorder="1" applyAlignment="1">
      <alignment horizontal="center" vertical="center" wrapText="1"/>
    </xf>
    <xf numFmtId="3" fontId="6" fillId="0" borderId="180" xfId="0" applyNumberFormat="1" applyFont="1" applyBorder="1" applyAlignment="1">
      <alignment horizontal="center" vertical="center"/>
    </xf>
    <xf numFmtId="3" fontId="6" fillId="0" borderId="167" xfId="0" applyNumberFormat="1" applyFont="1" applyBorder="1" applyAlignment="1">
      <alignment horizontal="center" vertical="center"/>
    </xf>
    <xf numFmtId="0" fontId="5" fillId="0" borderId="65" xfId="0" applyFont="1" applyBorder="1" applyAlignment="1">
      <alignment horizontal="center"/>
    </xf>
    <xf numFmtId="0" fontId="5" fillId="0" borderId="180" xfId="0" applyFont="1" applyBorder="1" applyAlignment="1">
      <alignment horizontal="center"/>
    </xf>
    <xf numFmtId="0" fontId="8" fillId="0" borderId="180" xfId="0" applyFont="1" applyFill="1" applyBorder="1" applyAlignment="1">
      <alignment horizontal="center" vertical="center" wrapText="1"/>
    </xf>
    <xf numFmtId="3" fontId="6" fillId="0" borderId="108" xfId="0" applyNumberFormat="1" applyFont="1" applyBorder="1" applyAlignment="1">
      <alignment horizontal="center" vertical="center"/>
    </xf>
  </cellXfs>
  <cellStyles count="5">
    <cellStyle name="Гиперссылка" xfId="3" builtinId="8"/>
    <cellStyle name="Обычный" xfId="0" builtinId="0"/>
    <cellStyle name="Процентный" xfId="2" builtinId="5"/>
    <cellStyle name="Финансовый" xfId="1" builtinId="3"/>
    <cellStyle name="Финансовый 2" xfId="4" xr:uid="{50880BA5-2FBD-4474-8D5B-5A3D1B8BEB41}"/>
  </cellStyles>
  <dxfs count="18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_-* #,##0_-;\-* #,##0_-;_-* &quot;-&quot;??_-;_-@_-"/>
    </dxf>
    <dxf>
      <numFmt numFmtId="166" formatCode="_-* #,##0_-;\-* #,##0_-;_-* &quot;-&quot;??_-;_-@_-"/>
    </dxf>
    <dxf>
      <numFmt numFmtId="166" formatCode="_-* #,##0_-;\-* #,##0_-;_-* &quot;-&quot;??_-;_-@_-"/>
    </dxf>
    <dxf>
      <numFmt numFmtId="166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pivotCacheDefinition" Target="pivotCache/pivotCacheDefinition10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8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7.xml"/><Relationship Id="rId27" Type="http://schemas.openxmlformats.org/officeDocument/2006/relationships/connections" Target="connection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jp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5.jpg"/><Relationship Id="rId13" Type="http://schemas.openxmlformats.org/officeDocument/2006/relationships/image" Target="../media/image340.jpg"/><Relationship Id="rId3" Type="http://schemas.openxmlformats.org/officeDocument/2006/relationships/image" Target="../media/image330.jpg"/><Relationship Id="rId7" Type="http://schemas.openxmlformats.org/officeDocument/2006/relationships/image" Target="../media/image334.jpg"/><Relationship Id="rId12" Type="http://schemas.openxmlformats.org/officeDocument/2006/relationships/image" Target="../media/image339.jpg"/><Relationship Id="rId2" Type="http://schemas.openxmlformats.org/officeDocument/2006/relationships/image" Target="../media/image329.jpg"/><Relationship Id="rId1" Type="http://schemas.openxmlformats.org/officeDocument/2006/relationships/image" Target="../media/image328.jpeg"/><Relationship Id="rId6" Type="http://schemas.openxmlformats.org/officeDocument/2006/relationships/image" Target="../media/image333.jpg"/><Relationship Id="rId11" Type="http://schemas.openxmlformats.org/officeDocument/2006/relationships/image" Target="../media/image338.png"/><Relationship Id="rId5" Type="http://schemas.openxmlformats.org/officeDocument/2006/relationships/image" Target="../media/image332.jpg"/><Relationship Id="rId10" Type="http://schemas.openxmlformats.org/officeDocument/2006/relationships/image" Target="../media/image337.jpg"/><Relationship Id="rId4" Type="http://schemas.openxmlformats.org/officeDocument/2006/relationships/image" Target="../media/image331.jpg"/><Relationship Id="rId9" Type="http://schemas.openxmlformats.org/officeDocument/2006/relationships/image" Target="../media/image336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7.jpeg"/><Relationship Id="rId13" Type="http://schemas.openxmlformats.org/officeDocument/2006/relationships/image" Target="../media/image352.jpeg"/><Relationship Id="rId3" Type="http://schemas.openxmlformats.org/officeDocument/2006/relationships/image" Target="../media/image342.jpeg"/><Relationship Id="rId7" Type="http://schemas.openxmlformats.org/officeDocument/2006/relationships/image" Target="../media/image346.png"/><Relationship Id="rId12" Type="http://schemas.openxmlformats.org/officeDocument/2006/relationships/image" Target="../media/image351.jpeg"/><Relationship Id="rId2" Type="http://schemas.openxmlformats.org/officeDocument/2006/relationships/image" Target="../media/image341.jpg"/><Relationship Id="rId16" Type="http://schemas.openxmlformats.org/officeDocument/2006/relationships/image" Target="../media/image355.png"/><Relationship Id="rId1" Type="http://schemas.openxmlformats.org/officeDocument/2006/relationships/image" Target="../media/image328.jpeg"/><Relationship Id="rId6" Type="http://schemas.openxmlformats.org/officeDocument/2006/relationships/image" Target="../media/image345.png"/><Relationship Id="rId11" Type="http://schemas.openxmlformats.org/officeDocument/2006/relationships/image" Target="../media/image350.jpeg"/><Relationship Id="rId5" Type="http://schemas.openxmlformats.org/officeDocument/2006/relationships/image" Target="../media/image344.jpg"/><Relationship Id="rId15" Type="http://schemas.openxmlformats.org/officeDocument/2006/relationships/image" Target="../media/image354.jpg"/><Relationship Id="rId10" Type="http://schemas.openxmlformats.org/officeDocument/2006/relationships/image" Target="../media/image349.jpeg"/><Relationship Id="rId4" Type="http://schemas.openxmlformats.org/officeDocument/2006/relationships/image" Target="../media/image343.jpg"/><Relationship Id="rId9" Type="http://schemas.openxmlformats.org/officeDocument/2006/relationships/image" Target="../media/image348.jpeg"/><Relationship Id="rId14" Type="http://schemas.openxmlformats.org/officeDocument/2006/relationships/image" Target="../media/image353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9.jpeg"/><Relationship Id="rId13" Type="http://schemas.openxmlformats.org/officeDocument/2006/relationships/image" Target="../media/image364.jpeg"/><Relationship Id="rId18" Type="http://schemas.openxmlformats.org/officeDocument/2006/relationships/image" Target="../media/image369.jpeg"/><Relationship Id="rId3" Type="http://schemas.openxmlformats.org/officeDocument/2006/relationships/image" Target="../media/image344.jpg"/><Relationship Id="rId21" Type="http://schemas.openxmlformats.org/officeDocument/2006/relationships/image" Target="../media/image372.jpeg"/><Relationship Id="rId7" Type="http://schemas.openxmlformats.org/officeDocument/2006/relationships/image" Target="../media/image358.jpeg"/><Relationship Id="rId12" Type="http://schemas.openxmlformats.org/officeDocument/2006/relationships/image" Target="../media/image363.jpeg"/><Relationship Id="rId17" Type="http://schemas.openxmlformats.org/officeDocument/2006/relationships/image" Target="../media/image368.jpeg"/><Relationship Id="rId2" Type="http://schemas.openxmlformats.org/officeDocument/2006/relationships/image" Target="../media/image343.jpg"/><Relationship Id="rId16" Type="http://schemas.openxmlformats.org/officeDocument/2006/relationships/image" Target="../media/image367.jpeg"/><Relationship Id="rId20" Type="http://schemas.openxmlformats.org/officeDocument/2006/relationships/image" Target="../media/image371.jpeg"/><Relationship Id="rId1" Type="http://schemas.openxmlformats.org/officeDocument/2006/relationships/image" Target="../media/image328.jpeg"/><Relationship Id="rId6" Type="http://schemas.openxmlformats.org/officeDocument/2006/relationships/image" Target="../media/image357.jpeg"/><Relationship Id="rId11" Type="http://schemas.openxmlformats.org/officeDocument/2006/relationships/image" Target="../media/image362.jpeg"/><Relationship Id="rId5" Type="http://schemas.openxmlformats.org/officeDocument/2006/relationships/image" Target="../media/image356.jpeg"/><Relationship Id="rId15" Type="http://schemas.openxmlformats.org/officeDocument/2006/relationships/image" Target="../media/image366.jpeg"/><Relationship Id="rId23" Type="http://schemas.openxmlformats.org/officeDocument/2006/relationships/image" Target="../media/image308.png"/><Relationship Id="rId10" Type="http://schemas.openxmlformats.org/officeDocument/2006/relationships/image" Target="../media/image361.jpeg"/><Relationship Id="rId19" Type="http://schemas.openxmlformats.org/officeDocument/2006/relationships/image" Target="../media/image370.jpeg"/><Relationship Id="rId4" Type="http://schemas.openxmlformats.org/officeDocument/2006/relationships/image" Target="../media/image346.png"/><Relationship Id="rId9" Type="http://schemas.openxmlformats.org/officeDocument/2006/relationships/image" Target="../media/image360.jpeg"/><Relationship Id="rId14" Type="http://schemas.openxmlformats.org/officeDocument/2006/relationships/image" Target="../media/image365.jpeg"/><Relationship Id="rId22" Type="http://schemas.openxmlformats.org/officeDocument/2006/relationships/image" Target="../media/image373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1.jpg"/><Relationship Id="rId3" Type="http://schemas.openxmlformats.org/officeDocument/2006/relationships/image" Target="../media/image376.jpg"/><Relationship Id="rId7" Type="http://schemas.openxmlformats.org/officeDocument/2006/relationships/image" Target="../media/image380.jpg"/><Relationship Id="rId2" Type="http://schemas.openxmlformats.org/officeDocument/2006/relationships/image" Target="../media/image375.jpg"/><Relationship Id="rId1" Type="http://schemas.openxmlformats.org/officeDocument/2006/relationships/image" Target="../media/image374.jpeg"/><Relationship Id="rId6" Type="http://schemas.openxmlformats.org/officeDocument/2006/relationships/image" Target="../media/image379.jpg"/><Relationship Id="rId11" Type="http://schemas.openxmlformats.org/officeDocument/2006/relationships/image" Target="../media/image384.jpg"/><Relationship Id="rId5" Type="http://schemas.openxmlformats.org/officeDocument/2006/relationships/image" Target="../media/image378.jpg"/><Relationship Id="rId10" Type="http://schemas.openxmlformats.org/officeDocument/2006/relationships/image" Target="../media/image383.jpg"/><Relationship Id="rId4" Type="http://schemas.openxmlformats.org/officeDocument/2006/relationships/image" Target="../media/image377.jpg"/><Relationship Id="rId9" Type="http://schemas.openxmlformats.org/officeDocument/2006/relationships/image" Target="../media/image382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62.png"/><Relationship Id="rId3" Type="http://schemas.openxmlformats.org/officeDocument/2006/relationships/image" Target="../media/image8.jpg"/><Relationship Id="rId7" Type="http://schemas.openxmlformats.org/officeDocument/2006/relationships/image" Target="../media/image38.png"/><Relationship Id="rId12" Type="http://schemas.openxmlformats.org/officeDocument/2006/relationships/image" Target="../media/image61.png"/><Relationship Id="rId2" Type="http://schemas.openxmlformats.org/officeDocument/2006/relationships/image" Target="../media/image6.jpg"/><Relationship Id="rId1" Type="http://schemas.openxmlformats.org/officeDocument/2006/relationships/image" Target="../media/image1.jpeg"/><Relationship Id="rId6" Type="http://schemas.openxmlformats.org/officeDocument/2006/relationships/image" Target="../media/image26.jpg"/><Relationship Id="rId11" Type="http://schemas.openxmlformats.org/officeDocument/2006/relationships/image" Target="../media/image60.jpeg"/><Relationship Id="rId5" Type="http://schemas.openxmlformats.org/officeDocument/2006/relationships/image" Target="../media/image23.jpg"/><Relationship Id="rId10" Type="http://schemas.openxmlformats.org/officeDocument/2006/relationships/image" Target="../media/image59.jpeg"/><Relationship Id="rId4" Type="http://schemas.openxmlformats.org/officeDocument/2006/relationships/image" Target="../media/image21.jpg"/><Relationship Id="rId9" Type="http://schemas.openxmlformats.org/officeDocument/2006/relationships/image" Target="../media/image19.png"/><Relationship Id="rId14" Type="http://schemas.openxmlformats.org/officeDocument/2006/relationships/image" Target="../media/image63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6.png"/><Relationship Id="rId18" Type="http://schemas.openxmlformats.org/officeDocument/2006/relationships/image" Target="../media/image81.png"/><Relationship Id="rId26" Type="http://schemas.openxmlformats.org/officeDocument/2006/relationships/image" Target="../media/image89.jpg"/><Relationship Id="rId39" Type="http://schemas.openxmlformats.org/officeDocument/2006/relationships/image" Target="../media/image102.png"/><Relationship Id="rId21" Type="http://schemas.openxmlformats.org/officeDocument/2006/relationships/image" Target="../media/image84.png"/><Relationship Id="rId34" Type="http://schemas.openxmlformats.org/officeDocument/2006/relationships/image" Target="../media/image97.jpg"/><Relationship Id="rId42" Type="http://schemas.openxmlformats.org/officeDocument/2006/relationships/image" Target="../media/image105.jpeg"/><Relationship Id="rId47" Type="http://schemas.openxmlformats.org/officeDocument/2006/relationships/image" Target="../media/image110.png"/><Relationship Id="rId50" Type="http://schemas.openxmlformats.org/officeDocument/2006/relationships/image" Target="../media/image113.pn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6" Type="http://schemas.openxmlformats.org/officeDocument/2006/relationships/image" Target="../media/image79.png"/><Relationship Id="rId29" Type="http://schemas.openxmlformats.org/officeDocument/2006/relationships/image" Target="../media/image92.jpg"/><Relationship Id="rId11" Type="http://schemas.openxmlformats.org/officeDocument/2006/relationships/image" Target="../media/image74.jpeg"/><Relationship Id="rId24" Type="http://schemas.openxmlformats.org/officeDocument/2006/relationships/image" Target="../media/image87.jpg"/><Relationship Id="rId32" Type="http://schemas.openxmlformats.org/officeDocument/2006/relationships/image" Target="../media/image95.jpg"/><Relationship Id="rId37" Type="http://schemas.openxmlformats.org/officeDocument/2006/relationships/image" Target="../media/image100.png"/><Relationship Id="rId40" Type="http://schemas.openxmlformats.org/officeDocument/2006/relationships/image" Target="../media/image103.jpeg"/><Relationship Id="rId45" Type="http://schemas.openxmlformats.org/officeDocument/2006/relationships/image" Target="../media/image108.png"/><Relationship Id="rId5" Type="http://schemas.openxmlformats.org/officeDocument/2006/relationships/image" Target="../media/image68.jpeg"/><Relationship Id="rId15" Type="http://schemas.openxmlformats.org/officeDocument/2006/relationships/image" Target="../media/image78.png"/><Relationship Id="rId23" Type="http://schemas.openxmlformats.org/officeDocument/2006/relationships/image" Target="../media/image86.png"/><Relationship Id="rId28" Type="http://schemas.openxmlformats.org/officeDocument/2006/relationships/image" Target="../media/image91.jpg"/><Relationship Id="rId36" Type="http://schemas.openxmlformats.org/officeDocument/2006/relationships/image" Target="../media/image99.png"/><Relationship Id="rId49" Type="http://schemas.openxmlformats.org/officeDocument/2006/relationships/image" Target="../media/image112.png"/><Relationship Id="rId10" Type="http://schemas.openxmlformats.org/officeDocument/2006/relationships/image" Target="../media/image73.jpeg"/><Relationship Id="rId19" Type="http://schemas.openxmlformats.org/officeDocument/2006/relationships/image" Target="../media/image82.png"/><Relationship Id="rId31" Type="http://schemas.openxmlformats.org/officeDocument/2006/relationships/image" Target="../media/image94.png"/><Relationship Id="rId44" Type="http://schemas.openxmlformats.org/officeDocument/2006/relationships/image" Target="../media/image107.png"/><Relationship Id="rId4" Type="http://schemas.openxmlformats.org/officeDocument/2006/relationships/image" Target="../media/image67.jpeg"/><Relationship Id="rId9" Type="http://schemas.openxmlformats.org/officeDocument/2006/relationships/image" Target="../media/image72.jpeg"/><Relationship Id="rId14" Type="http://schemas.openxmlformats.org/officeDocument/2006/relationships/image" Target="../media/image77.png"/><Relationship Id="rId22" Type="http://schemas.openxmlformats.org/officeDocument/2006/relationships/image" Target="../media/image85.png"/><Relationship Id="rId27" Type="http://schemas.openxmlformats.org/officeDocument/2006/relationships/image" Target="../media/image90.jpg"/><Relationship Id="rId30" Type="http://schemas.openxmlformats.org/officeDocument/2006/relationships/image" Target="../media/image93.jpg"/><Relationship Id="rId35" Type="http://schemas.openxmlformats.org/officeDocument/2006/relationships/image" Target="../media/image98.jpg"/><Relationship Id="rId43" Type="http://schemas.openxmlformats.org/officeDocument/2006/relationships/image" Target="../media/image106.jpeg"/><Relationship Id="rId48" Type="http://schemas.openxmlformats.org/officeDocument/2006/relationships/image" Target="../media/image111.png"/><Relationship Id="rId8" Type="http://schemas.openxmlformats.org/officeDocument/2006/relationships/image" Target="../media/image71.jpeg"/><Relationship Id="rId51" Type="http://schemas.openxmlformats.org/officeDocument/2006/relationships/image" Target="../media/image114.png"/><Relationship Id="rId3" Type="http://schemas.openxmlformats.org/officeDocument/2006/relationships/image" Target="../media/image66.jpeg"/><Relationship Id="rId12" Type="http://schemas.openxmlformats.org/officeDocument/2006/relationships/image" Target="../media/image75.png"/><Relationship Id="rId17" Type="http://schemas.openxmlformats.org/officeDocument/2006/relationships/image" Target="../media/image80.png"/><Relationship Id="rId25" Type="http://schemas.openxmlformats.org/officeDocument/2006/relationships/image" Target="../media/image88.jpg"/><Relationship Id="rId33" Type="http://schemas.openxmlformats.org/officeDocument/2006/relationships/image" Target="../media/image96.jpg"/><Relationship Id="rId38" Type="http://schemas.openxmlformats.org/officeDocument/2006/relationships/image" Target="../media/image101.png"/><Relationship Id="rId46" Type="http://schemas.openxmlformats.org/officeDocument/2006/relationships/image" Target="../media/image109.png"/><Relationship Id="rId20" Type="http://schemas.openxmlformats.org/officeDocument/2006/relationships/image" Target="../media/image83.png"/><Relationship Id="rId41" Type="http://schemas.openxmlformats.org/officeDocument/2006/relationships/image" Target="../media/image104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jpeg"/><Relationship Id="rId3" Type="http://schemas.openxmlformats.org/officeDocument/2006/relationships/image" Target="../media/image87.jpg"/><Relationship Id="rId7" Type="http://schemas.openxmlformats.org/officeDocument/2006/relationships/image" Target="../media/image102.pn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101.png"/><Relationship Id="rId11" Type="http://schemas.openxmlformats.org/officeDocument/2006/relationships/image" Target="../media/image118.jpeg"/><Relationship Id="rId5" Type="http://schemas.openxmlformats.org/officeDocument/2006/relationships/image" Target="../media/image99.png"/><Relationship Id="rId10" Type="http://schemas.openxmlformats.org/officeDocument/2006/relationships/image" Target="../media/image117.png"/><Relationship Id="rId4" Type="http://schemas.openxmlformats.org/officeDocument/2006/relationships/image" Target="../media/image90.jpg"/><Relationship Id="rId9" Type="http://schemas.openxmlformats.org/officeDocument/2006/relationships/image" Target="../media/image116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3.jpg"/><Relationship Id="rId21" Type="http://schemas.openxmlformats.org/officeDocument/2006/relationships/image" Target="../media/image138.jpg"/><Relationship Id="rId42" Type="http://schemas.openxmlformats.org/officeDocument/2006/relationships/image" Target="../media/image159.png"/><Relationship Id="rId47" Type="http://schemas.openxmlformats.org/officeDocument/2006/relationships/image" Target="../media/image164.png"/><Relationship Id="rId63" Type="http://schemas.openxmlformats.org/officeDocument/2006/relationships/image" Target="../media/image180.jpeg"/><Relationship Id="rId68" Type="http://schemas.openxmlformats.org/officeDocument/2006/relationships/image" Target="../media/image185.jpeg"/><Relationship Id="rId84" Type="http://schemas.openxmlformats.org/officeDocument/2006/relationships/image" Target="../media/image201.jpeg"/><Relationship Id="rId16" Type="http://schemas.openxmlformats.org/officeDocument/2006/relationships/image" Target="../media/image133.jpg"/><Relationship Id="rId11" Type="http://schemas.openxmlformats.org/officeDocument/2006/relationships/image" Target="../media/image128.jpg"/><Relationship Id="rId32" Type="http://schemas.openxmlformats.org/officeDocument/2006/relationships/image" Target="../media/image149.png"/><Relationship Id="rId37" Type="http://schemas.openxmlformats.org/officeDocument/2006/relationships/image" Target="../media/image154.jpg"/><Relationship Id="rId53" Type="http://schemas.openxmlformats.org/officeDocument/2006/relationships/image" Target="../media/image170.jpeg"/><Relationship Id="rId58" Type="http://schemas.openxmlformats.org/officeDocument/2006/relationships/image" Target="../media/image175.png"/><Relationship Id="rId74" Type="http://schemas.openxmlformats.org/officeDocument/2006/relationships/image" Target="../media/image191.jpeg"/><Relationship Id="rId79" Type="http://schemas.openxmlformats.org/officeDocument/2006/relationships/image" Target="../media/image196.jpeg"/><Relationship Id="rId5" Type="http://schemas.openxmlformats.org/officeDocument/2006/relationships/image" Target="../media/image122.jpg"/><Relationship Id="rId19" Type="http://schemas.openxmlformats.org/officeDocument/2006/relationships/image" Target="../media/image136.jpg"/><Relationship Id="rId14" Type="http://schemas.openxmlformats.org/officeDocument/2006/relationships/image" Target="../media/image131.jpg"/><Relationship Id="rId22" Type="http://schemas.openxmlformats.org/officeDocument/2006/relationships/image" Target="../media/image139.jpg"/><Relationship Id="rId27" Type="http://schemas.openxmlformats.org/officeDocument/2006/relationships/image" Target="../media/image144.jpeg"/><Relationship Id="rId30" Type="http://schemas.openxmlformats.org/officeDocument/2006/relationships/image" Target="../media/image147.jpg"/><Relationship Id="rId35" Type="http://schemas.openxmlformats.org/officeDocument/2006/relationships/image" Target="../media/image152.jpg"/><Relationship Id="rId43" Type="http://schemas.openxmlformats.org/officeDocument/2006/relationships/image" Target="../media/image160.png"/><Relationship Id="rId48" Type="http://schemas.openxmlformats.org/officeDocument/2006/relationships/image" Target="../media/image165.png"/><Relationship Id="rId56" Type="http://schemas.openxmlformats.org/officeDocument/2006/relationships/image" Target="../media/image173.png"/><Relationship Id="rId64" Type="http://schemas.openxmlformats.org/officeDocument/2006/relationships/image" Target="../media/image181.jpeg"/><Relationship Id="rId69" Type="http://schemas.openxmlformats.org/officeDocument/2006/relationships/image" Target="../media/image186.jpeg"/><Relationship Id="rId77" Type="http://schemas.openxmlformats.org/officeDocument/2006/relationships/image" Target="../media/image194.jpeg"/><Relationship Id="rId8" Type="http://schemas.openxmlformats.org/officeDocument/2006/relationships/image" Target="../media/image125.jpg"/><Relationship Id="rId51" Type="http://schemas.openxmlformats.org/officeDocument/2006/relationships/image" Target="../media/image168.jpg"/><Relationship Id="rId72" Type="http://schemas.openxmlformats.org/officeDocument/2006/relationships/image" Target="../media/image189.jpeg"/><Relationship Id="rId80" Type="http://schemas.openxmlformats.org/officeDocument/2006/relationships/image" Target="../media/image197.jpeg"/><Relationship Id="rId85" Type="http://schemas.openxmlformats.org/officeDocument/2006/relationships/image" Target="../media/image202.jpeg"/><Relationship Id="rId3" Type="http://schemas.openxmlformats.org/officeDocument/2006/relationships/image" Target="../media/image120.jpg"/><Relationship Id="rId12" Type="http://schemas.openxmlformats.org/officeDocument/2006/relationships/image" Target="../media/image129.jpg"/><Relationship Id="rId17" Type="http://schemas.openxmlformats.org/officeDocument/2006/relationships/image" Target="../media/image134.jpg"/><Relationship Id="rId25" Type="http://schemas.openxmlformats.org/officeDocument/2006/relationships/image" Target="../media/image142.jpg"/><Relationship Id="rId33" Type="http://schemas.openxmlformats.org/officeDocument/2006/relationships/image" Target="../media/image150.png"/><Relationship Id="rId38" Type="http://schemas.openxmlformats.org/officeDocument/2006/relationships/image" Target="../media/image155.jpeg"/><Relationship Id="rId46" Type="http://schemas.openxmlformats.org/officeDocument/2006/relationships/image" Target="../media/image163.png"/><Relationship Id="rId59" Type="http://schemas.openxmlformats.org/officeDocument/2006/relationships/image" Target="../media/image176.png"/><Relationship Id="rId67" Type="http://schemas.openxmlformats.org/officeDocument/2006/relationships/image" Target="../media/image184.jpeg"/><Relationship Id="rId20" Type="http://schemas.openxmlformats.org/officeDocument/2006/relationships/image" Target="../media/image137.jpg"/><Relationship Id="rId41" Type="http://schemas.openxmlformats.org/officeDocument/2006/relationships/image" Target="../media/image158.jpg"/><Relationship Id="rId54" Type="http://schemas.openxmlformats.org/officeDocument/2006/relationships/image" Target="../media/image171.jpeg"/><Relationship Id="rId62" Type="http://schemas.openxmlformats.org/officeDocument/2006/relationships/image" Target="../media/image179.jpeg"/><Relationship Id="rId70" Type="http://schemas.openxmlformats.org/officeDocument/2006/relationships/image" Target="../media/image187.jpeg"/><Relationship Id="rId75" Type="http://schemas.openxmlformats.org/officeDocument/2006/relationships/image" Target="../media/image192.jpeg"/><Relationship Id="rId83" Type="http://schemas.openxmlformats.org/officeDocument/2006/relationships/image" Target="../media/image200.jpeg"/><Relationship Id="rId1" Type="http://schemas.openxmlformats.org/officeDocument/2006/relationships/image" Target="../media/image1.jpeg"/><Relationship Id="rId6" Type="http://schemas.openxmlformats.org/officeDocument/2006/relationships/image" Target="../media/image123.jpg"/><Relationship Id="rId15" Type="http://schemas.openxmlformats.org/officeDocument/2006/relationships/image" Target="../media/image132.png"/><Relationship Id="rId23" Type="http://schemas.openxmlformats.org/officeDocument/2006/relationships/image" Target="../media/image140.jpg"/><Relationship Id="rId28" Type="http://schemas.openxmlformats.org/officeDocument/2006/relationships/image" Target="../media/image145.jpg"/><Relationship Id="rId36" Type="http://schemas.openxmlformats.org/officeDocument/2006/relationships/image" Target="../media/image153.jpeg"/><Relationship Id="rId49" Type="http://schemas.openxmlformats.org/officeDocument/2006/relationships/image" Target="../media/image166.png"/><Relationship Id="rId57" Type="http://schemas.openxmlformats.org/officeDocument/2006/relationships/image" Target="../media/image174.png"/><Relationship Id="rId10" Type="http://schemas.openxmlformats.org/officeDocument/2006/relationships/image" Target="../media/image127.jpg"/><Relationship Id="rId31" Type="http://schemas.openxmlformats.org/officeDocument/2006/relationships/image" Target="../media/image148.jpeg"/><Relationship Id="rId44" Type="http://schemas.openxmlformats.org/officeDocument/2006/relationships/image" Target="../media/image161.jpg"/><Relationship Id="rId52" Type="http://schemas.openxmlformats.org/officeDocument/2006/relationships/image" Target="../media/image169.jpeg"/><Relationship Id="rId60" Type="http://schemas.openxmlformats.org/officeDocument/2006/relationships/image" Target="../media/image177.png"/><Relationship Id="rId65" Type="http://schemas.openxmlformats.org/officeDocument/2006/relationships/image" Target="../media/image182.jpeg"/><Relationship Id="rId73" Type="http://schemas.openxmlformats.org/officeDocument/2006/relationships/image" Target="../media/image190.jpeg"/><Relationship Id="rId78" Type="http://schemas.openxmlformats.org/officeDocument/2006/relationships/image" Target="../media/image195.jpeg"/><Relationship Id="rId81" Type="http://schemas.openxmlformats.org/officeDocument/2006/relationships/image" Target="../media/image198.jpeg"/><Relationship Id="rId4" Type="http://schemas.openxmlformats.org/officeDocument/2006/relationships/image" Target="../media/image121.jpg"/><Relationship Id="rId9" Type="http://schemas.openxmlformats.org/officeDocument/2006/relationships/image" Target="../media/image126.jpg"/><Relationship Id="rId13" Type="http://schemas.openxmlformats.org/officeDocument/2006/relationships/image" Target="../media/image130.jpg"/><Relationship Id="rId18" Type="http://schemas.openxmlformats.org/officeDocument/2006/relationships/image" Target="../media/image135.jpg"/><Relationship Id="rId39" Type="http://schemas.openxmlformats.org/officeDocument/2006/relationships/image" Target="../media/image156.jpg"/><Relationship Id="rId34" Type="http://schemas.openxmlformats.org/officeDocument/2006/relationships/image" Target="../media/image151.jpg"/><Relationship Id="rId50" Type="http://schemas.openxmlformats.org/officeDocument/2006/relationships/image" Target="../media/image167.jpg"/><Relationship Id="rId55" Type="http://schemas.openxmlformats.org/officeDocument/2006/relationships/image" Target="../media/image172.jpeg"/><Relationship Id="rId76" Type="http://schemas.openxmlformats.org/officeDocument/2006/relationships/image" Target="../media/image193.jpeg"/><Relationship Id="rId7" Type="http://schemas.openxmlformats.org/officeDocument/2006/relationships/image" Target="../media/image124.jpg"/><Relationship Id="rId71" Type="http://schemas.openxmlformats.org/officeDocument/2006/relationships/image" Target="../media/image188.jpeg"/><Relationship Id="rId2" Type="http://schemas.openxmlformats.org/officeDocument/2006/relationships/image" Target="../media/image119.jpg"/><Relationship Id="rId29" Type="http://schemas.openxmlformats.org/officeDocument/2006/relationships/image" Target="../media/image146.jpg"/><Relationship Id="rId24" Type="http://schemas.openxmlformats.org/officeDocument/2006/relationships/image" Target="../media/image141.jpg"/><Relationship Id="rId40" Type="http://schemas.openxmlformats.org/officeDocument/2006/relationships/image" Target="../media/image157.jpg"/><Relationship Id="rId45" Type="http://schemas.openxmlformats.org/officeDocument/2006/relationships/image" Target="../media/image162.jpg"/><Relationship Id="rId66" Type="http://schemas.openxmlformats.org/officeDocument/2006/relationships/image" Target="../media/image183.jpeg"/><Relationship Id="rId61" Type="http://schemas.openxmlformats.org/officeDocument/2006/relationships/image" Target="../media/image178.png"/><Relationship Id="rId82" Type="http://schemas.openxmlformats.org/officeDocument/2006/relationships/image" Target="../media/image199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27.png"/><Relationship Id="rId21" Type="http://schemas.openxmlformats.org/officeDocument/2006/relationships/image" Target="../media/image222.jpg"/><Relationship Id="rId42" Type="http://schemas.openxmlformats.org/officeDocument/2006/relationships/image" Target="../media/image243.jpeg"/><Relationship Id="rId47" Type="http://schemas.openxmlformats.org/officeDocument/2006/relationships/image" Target="../media/image248.jpeg"/><Relationship Id="rId63" Type="http://schemas.openxmlformats.org/officeDocument/2006/relationships/image" Target="../media/image264.jpeg"/><Relationship Id="rId68" Type="http://schemas.openxmlformats.org/officeDocument/2006/relationships/image" Target="../media/image269.jpeg"/><Relationship Id="rId16" Type="http://schemas.openxmlformats.org/officeDocument/2006/relationships/image" Target="../media/image217.jpg"/><Relationship Id="rId11" Type="http://schemas.openxmlformats.org/officeDocument/2006/relationships/image" Target="../media/image212.jpg"/><Relationship Id="rId32" Type="http://schemas.openxmlformats.org/officeDocument/2006/relationships/image" Target="../media/image233.png"/><Relationship Id="rId37" Type="http://schemas.openxmlformats.org/officeDocument/2006/relationships/image" Target="../media/image238.jpeg"/><Relationship Id="rId53" Type="http://schemas.openxmlformats.org/officeDocument/2006/relationships/image" Target="../media/image254.jpeg"/><Relationship Id="rId58" Type="http://schemas.openxmlformats.org/officeDocument/2006/relationships/image" Target="../media/image259.jpeg"/><Relationship Id="rId74" Type="http://schemas.openxmlformats.org/officeDocument/2006/relationships/image" Target="../media/image275.jpeg"/><Relationship Id="rId79" Type="http://schemas.openxmlformats.org/officeDocument/2006/relationships/image" Target="../media/image280.jpeg"/><Relationship Id="rId5" Type="http://schemas.openxmlformats.org/officeDocument/2006/relationships/image" Target="../media/image206.jpg"/><Relationship Id="rId61" Type="http://schemas.openxmlformats.org/officeDocument/2006/relationships/image" Target="../media/image262.jpeg"/><Relationship Id="rId82" Type="http://schemas.openxmlformats.org/officeDocument/2006/relationships/image" Target="../media/image283.jpeg"/><Relationship Id="rId19" Type="http://schemas.openxmlformats.org/officeDocument/2006/relationships/image" Target="../media/image220.jpg"/><Relationship Id="rId14" Type="http://schemas.openxmlformats.org/officeDocument/2006/relationships/image" Target="../media/image215.jpg"/><Relationship Id="rId22" Type="http://schemas.openxmlformats.org/officeDocument/2006/relationships/image" Target="../media/image223.jpg"/><Relationship Id="rId27" Type="http://schemas.openxmlformats.org/officeDocument/2006/relationships/image" Target="../media/image228.jpg"/><Relationship Id="rId30" Type="http://schemas.openxmlformats.org/officeDocument/2006/relationships/image" Target="../media/image231.jpg"/><Relationship Id="rId35" Type="http://schemas.openxmlformats.org/officeDocument/2006/relationships/image" Target="../media/image236.jpeg"/><Relationship Id="rId43" Type="http://schemas.openxmlformats.org/officeDocument/2006/relationships/image" Target="../media/image244.jpeg"/><Relationship Id="rId48" Type="http://schemas.openxmlformats.org/officeDocument/2006/relationships/image" Target="../media/image249.jpeg"/><Relationship Id="rId56" Type="http://schemas.openxmlformats.org/officeDocument/2006/relationships/image" Target="../media/image257.jpeg"/><Relationship Id="rId64" Type="http://schemas.openxmlformats.org/officeDocument/2006/relationships/image" Target="../media/image265.jpeg"/><Relationship Id="rId69" Type="http://schemas.openxmlformats.org/officeDocument/2006/relationships/image" Target="../media/image270.jpeg"/><Relationship Id="rId77" Type="http://schemas.openxmlformats.org/officeDocument/2006/relationships/image" Target="../media/image278.jpeg"/><Relationship Id="rId8" Type="http://schemas.openxmlformats.org/officeDocument/2006/relationships/image" Target="../media/image209.png"/><Relationship Id="rId51" Type="http://schemas.openxmlformats.org/officeDocument/2006/relationships/image" Target="../media/image252.jpeg"/><Relationship Id="rId72" Type="http://schemas.openxmlformats.org/officeDocument/2006/relationships/image" Target="../media/image273.jpeg"/><Relationship Id="rId80" Type="http://schemas.openxmlformats.org/officeDocument/2006/relationships/image" Target="../media/image281.jpeg"/><Relationship Id="rId3" Type="http://schemas.openxmlformats.org/officeDocument/2006/relationships/image" Target="../media/image204.jpg"/><Relationship Id="rId12" Type="http://schemas.openxmlformats.org/officeDocument/2006/relationships/image" Target="../media/image213.jpg"/><Relationship Id="rId17" Type="http://schemas.openxmlformats.org/officeDocument/2006/relationships/image" Target="../media/image218.jpg"/><Relationship Id="rId25" Type="http://schemas.openxmlformats.org/officeDocument/2006/relationships/image" Target="../media/image226.png"/><Relationship Id="rId33" Type="http://schemas.openxmlformats.org/officeDocument/2006/relationships/image" Target="../media/image234.jpeg"/><Relationship Id="rId38" Type="http://schemas.openxmlformats.org/officeDocument/2006/relationships/image" Target="../media/image239.jpeg"/><Relationship Id="rId46" Type="http://schemas.openxmlformats.org/officeDocument/2006/relationships/image" Target="../media/image247.jpeg"/><Relationship Id="rId59" Type="http://schemas.openxmlformats.org/officeDocument/2006/relationships/image" Target="../media/image260.jpeg"/><Relationship Id="rId67" Type="http://schemas.openxmlformats.org/officeDocument/2006/relationships/image" Target="../media/image268.jpeg"/><Relationship Id="rId20" Type="http://schemas.openxmlformats.org/officeDocument/2006/relationships/image" Target="../media/image221.jpg"/><Relationship Id="rId41" Type="http://schemas.openxmlformats.org/officeDocument/2006/relationships/image" Target="../media/image242.jpeg"/><Relationship Id="rId54" Type="http://schemas.openxmlformats.org/officeDocument/2006/relationships/image" Target="../media/image255.jpeg"/><Relationship Id="rId62" Type="http://schemas.openxmlformats.org/officeDocument/2006/relationships/image" Target="../media/image263.jpeg"/><Relationship Id="rId70" Type="http://schemas.openxmlformats.org/officeDocument/2006/relationships/image" Target="../media/image271.jpeg"/><Relationship Id="rId75" Type="http://schemas.openxmlformats.org/officeDocument/2006/relationships/image" Target="../media/image276.jpeg"/><Relationship Id="rId83" Type="http://schemas.openxmlformats.org/officeDocument/2006/relationships/image" Target="../media/image284.jpeg"/><Relationship Id="rId1" Type="http://schemas.openxmlformats.org/officeDocument/2006/relationships/image" Target="../media/image1.jpeg"/><Relationship Id="rId6" Type="http://schemas.openxmlformats.org/officeDocument/2006/relationships/image" Target="../media/image207.jpg"/><Relationship Id="rId15" Type="http://schemas.openxmlformats.org/officeDocument/2006/relationships/image" Target="../media/image216.jpg"/><Relationship Id="rId23" Type="http://schemas.openxmlformats.org/officeDocument/2006/relationships/image" Target="../media/image224.jpg"/><Relationship Id="rId28" Type="http://schemas.openxmlformats.org/officeDocument/2006/relationships/image" Target="../media/image229.jpg"/><Relationship Id="rId36" Type="http://schemas.openxmlformats.org/officeDocument/2006/relationships/image" Target="../media/image237.jpeg"/><Relationship Id="rId49" Type="http://schemas.openxmlformats.org/officeDocument/2006/relationships/image" Target="../media/image250.jpeg"/><Relationship Id="rId57" Type="http://schemas.openxmlformats.org/officeDocument/2006/relationships/image" Target="../media/image258.jpeg"/><Relationship Id="rId10" Type="http://schemas.openxmlformats.org/officeDocument/2006/relationships/image" Target="../media/image211.jpg"/><Relationship Id="rId31" Type="http://schemas.openxmlformats.org/officeDocument/2006/relationships/image" Target="../media/image232.png"/><Relationship Id="rId44" Type="http://schemas.openxmlformats.org/officeDocument/2006/relationships/image" Target="../media/image245.jpeg"/><Relationship Id="rId52" Type="http://schemas.openxmlformats.org/officeDocument/2006/relationships/image" Target="../media/image253.jpeg"/><Relationship Id="rId60" Type="http://schemas.openxmlformats.org/officeDocument/2006/relationships/image" Target="../media/image261.jpeg"/><Relationship Id="rId65" Type="http://schemas.openxmlformats.org/officeDocument/2006/relationships/image" Target="../media/image266.jpeg"/><Relationship Id="rId73" Type="http://schemas.openxmlformats.org/officeDocument/2006/relationships/image" Target="../media/image274.jpeg"/><Relationship Id="rId78" Type="http://schemas.openxmlformats.org/officeDocument/2006/relationships/image" Target="../media/image279.jpeg"/><Relationship Id="rId81" Type="http://schemas.openxmlformats.org/officeDocument/2006/relationships/image" Target="../media/image282.jpeg"/><Relationship Id="rId4" Type="http://schemas.openxmlformats.org/officeDocument/2006/relationships/image" Target="../media/image205.jpg"/><Relationship Id="rId9" Type="http://schemas.openxmlformats.org/officeDocument/2006/relationships/image" Target="../media/image210.jpg"/><Relationship Id="rId13" Type="http://schemas.openxmlformats.org/officeDocument/2006/relationships/image" Target="../media/image214.jpg"/><Relationship Id="rId18" Type="http://schemas.openxmlformats.org/officeDocument/2006/relationships/image" Target="../media/image219.jpg"/><Relationship Id="rId39" Type="http://schemas.openxmlformats.org/officeDocument/2006/relationships/image" Target="../media/image240.jpeg"/><Relationship Id="rId34" Type="http://schemas.openxmlformats.org/officeDocument/2006/relationships/image" Target="../media/image235.jpeg"/><Relationship Id="rId50" Type="http://schemas.openxmlformats.org/officeDocument/2006/relationships/image" Target="../media/image251.jpeg"/><Relationship Id="rId55" Type="http://schemas.openxmlformats.org/officeDocument/2006/relationships/image" Target="../media/image256.jpeg"/><Relationship Id="rId76" Type="http://schemas.openxmlformats.org/officeDocument/2006/relationships/image" Target="../media/image277.jpeg"/><Relationship Id="rId7" Type="http://schemas.openxmlformats.org/officeDocument/2006/relationships/image" Target="../media/image208.jpg"/><Relationship Id="rId71" Type="http://schemas.openxmlformats.org/officeDocument/2006/relationships/image" Target="../media/image272.jpeg"/><Relationship Id="rId2" Type="http://schemas.openxmlformats.org/officeDocument/2006/relationships/image" Target="../media/image203.jpg"/><Relationship Id="rId29" Type="http://schemas.openxmlformats.org/officeDocument/2006/relationships/image" Target="../media/image230.jpg"/><Relationship Id="rId24" Type="http://schemas.openxmlformats.org/officeDocument/2006/relationships/image" Target="../media/image225.jpg"/><Relationship Id="rId40" Type="http://schemas.openxmlformats.org/officeDocument/2006/relationships/image" Target="../media/image241.jpeg"/><Relationship Id="rId45" Type="http://schemas.openxmlformats.org/officeDocument/2006/relationships/image" Target="../media/image246.jpeg"/><Relationship Id="rId66" Type="http://schemas.openxmlformats.org/officeDocument/2006/relationships/image" Target="../media/image267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7.jpg"/><Relationship Id="rId18" Type="http://schemas.openxmlformats.org/officeDocument/2006/relationships/image" Target="../media/image302.jpg"/><Relationship Id="rId26" Type="http://schemas.openxmlformats.org/officeDocument/2006/relationships/image" Target="../media/image310.png"/><Relationship Id="rId3" Type="http://schemas.openxmlformats.org/officeDocument/2006/relationships/image" Target="../media/image287.jpg"/><Relationship Id="rId21" Type="http://schemas.openxmlformats.org/officeDocument/2006/relationships/image" Target="../media/image305.png"/><Relationship Id="rId34" Type="http://schemas.openxmlformats.org/officeDocument/2006/relationships/image" Target="../media/image318.jpeg"/><Relationship Id="rId7" Type="http://schemas.openxmlformats.org/officeDocument/2006/relationships/image" Target="../media/image291.jpg"/><Relationship Id="rId12" Type="http://schemas.openxmlformats.org/officeDocument/2006/relationships/image" Target="../media/image296.png"/><Relationship Id="rId17" Type="http://schemas.openxmlformats.org/officeDocument/2006/relationships/image" Target="../media/image301.jpg"/><Relationship Id="rId25" Type="http://schemas.openxmlformats.org/officeDocument/2006/relationships/image" Target="../media/image309.png"/><Relationship Id="rId33" Type="http://schemas.openxmlformats.org/officeDocument/2006/relationships/image" Target="../media/image317.jpeg"/><Relationship Id="rId2" Type="http://schemas.openxmlformats.org/officeDocument/2006/relationships/image" Target="../media/image286.jpg"/><Relationship Id="rId16" Type="http://schemas.openxmlformats.org/officeDocument/2006/relationships/image" Target="../media/image300.jpg"/><Relationship Id="rId20" Type="http://schemas.openxmlformats.org/officeDocument/2006/relationships/image" Target="../media/image304.jpg"/><Relationship Id="rId29" Type="http://schemas.openxmlformats.org/officeDocument/2006/relationships/image" Target="../media/image313.png"/><Relationship Id="rId1" Type="http://schemas.openxmlformats.org/officeDocument/2006/relationships/image" Target="../media/image285.jpeg"/><Relationship Id="rId6" Type="http://schemas.openxmlformats.org/officeDocument/2006/relationships/image" Target="../media/image290.jpg"/><Relationship Id="rId11" Type="http://schemas.openxmlformats.org/officeDocument/2006/relationships/image" Target="../media/image295.png"/><Relationship Id="rId24" Type="http://schemas.openxmlformats.org/officeDocument/2006/relationships/image" Target="../media/image308.png"/><Relationship Id="rId32" Type="http://schemas.openxmlformats.org/officeDocument/2006/relationships/image" Target="../media/image316.jpeg"/><Relationship Id="rId5" Type="http://schemas.openxmlformats.org/officeDocument/2006/relationships/image" Target="../media/image289.png"/><Relationship Id="rId15" Type="http://schemas.openxmlformats.org/officeDocument/2006/relationships/image" Target="../media/image299.jpg"/><Relationship Id="rId23" Type="http://schemas.openxmlformats.org/officeDocument/2006/relationships/image" Target="../media/image307.png"/><Relationship Id="rId28" Type="http://schemas.openxmlformats.org/officeDocument/2006/relationships/image" Target="../media/image312.png"/><Relationship Id="rId36" Type="http://schemas.openxmlformats.org/officeDocument/2006/relationships/image" Target="../media/image320.jpeg"/><Relationship Id="rId10" Type="http://schemas.openxmlformats.org/officeDocument/2006/relationships/image" Target="../media/image294.jpg"/><Relationship Id="rId19" Type="http://schemas.openxmlformats.org/officeDocument/2006/relationships/image" Target="../media/image303.jpg"/><Relationship Id="rId31" Type="http://schemas.openxmlformats.org/officeDocument/2006/relationships/image" Target="../media/image315.jpeg"/><Relationship Id="rId4" Type="http://schemas.openxmlformats.org/officeDocument/2006/relationships/image" Target="../media/image288.png"/><Relationship Id="rId9" Type="http://schemas.openxmlformats.org/officeDocument/2006/relationships/image" Target="../media/image293.jpg"/><Relationship Id="rId14" Type="http://schemas.openxmlformats.org/officeDocument/2006/relationships/image" Target="../media/image298.jpg"/><Relationship Id="rId22" Type="http://schemas.openxmlformats.org/officeDocument/2006/relationships/image" Target="../media/image306.jpg"/><Relationship Id="rId27" Type="http://schemas.openxmlformats.org/officeDocument/2006/relationships/image" Target="../media/image311.png"/><Relationship Id="rId30" Type="http://schemas.openxmlformats.org/officeDocument/2006/relationships/image" Target="../media/image314.jpeg"/><Relationship Id="rId35" Type="http://schemas.openxmlformats.org/officeDocument/2006/relationships/image" Target="../media/image319.jpeg"/><Relationship Id="rId8" Type="http://schemas.openxmlformats.org/officeDocument/2006/relationships/image" Target="../media/image292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4.jpg"/><Relationship Id="rId13" Type="http://schemas.openxmlformats.org/officeDocument/2006/relationships/image" Target="../media/image299.jpg"/><Relationship Id="rId18" Type="http://schemas.openxmlformats.org/officeDocument/2006/relationships/image" Target="../media/image304.jpg"/><Relationship Id="rId26" Type="http://schemas.openxmlformats.org/officeDocument/2006/relationships/image" Target="../media/image316.jpeg"/><Relationship Id="rId3" Type="http://schemas.openxmlformats.org/officeDocument/2006/relationships/image" Target="../media/image289.png"/><Relationship Id="rId21" Type="http://schemas.openxmlformats.org/officeDocument/2006/relationships/image" Target="../media/image309.png"/><Relationship Id="rId7" Type="http://schemas.openxmlformats.org/officeDocument/2006/relationships/image" Target="../media/image293.jpg"/><Relationship Id="rId12" Type="http://schemas.openxmlformats.org/officeDocument/2006/relationships/image" Target="../media/image298.jpg"/><Relationship Id="rId17" Type="http://schemas.openxmlformats.org/officeDocument/2006/relationships/image" Target="../media/image303.jpg"/><Relationship Id="rId25" Type="http://schemas.openxmlformats.org/officeDocument/2006/relationships/image" Target="../media/image315.jpeg"/><Relationship Id="rId2" Type="http://schemas.openxmlformats.org/officeDocument/2006/relationships/image" Target="../media/image288.png"/><Relationship Id="rId16" Type="http://schemas.openxmlformats.org/officeDocument/2006/relationships/image" Target="../media/image302.jpg"/><Relationship Id="rId20" Type="http://schemas.openxmlformats.org/officeDocument/2006/relationships/image" Target="../media/image308.png"/><Relationship Id="rId29" Type="http://schemas.openxmlformats.org/officeDocument/2006/relationships/image" Target="../media/image319.jpeg"/><Relationship Id="rId1" Type="http://schemas.openxmlformats.org/officeDocument/2006/relationships/image" Target="../media/image285.jpeg"/><Relationship Id="rId6" Type="http://schemas.openxmlformats.org/officeDocument/2006/relationships/image" Target="../media/image292.jpg"/><Relationship Id="rId11" Type="http://schemas.openxmlformats.org/officeDocument/2006/relationships/image" Target="../media/image297.jpg"/><Relationship Id="rId24" Type="http://schemas.openxmlformats.org/officeDocument/2006/relationships/image" Target="../media/image314.jpeg"/><Relationship Id="rId5" Type="http://schemas.openxmlformats.org/officeDocument/2006/relationships/image" Target="../media/image291.jpg"/><Relationship Id="rId15" Type="http://schemas.openxmlformats.org/officeDocument/2006/relationships/image" Target="../media/image301.jpg"/><Relationship Id="rId23" Type="http://schemas.openxmlformats.org/officeDocument/2006/relationships/image" Target="../media/image313.png"/><Relationship Id="rId28" Type="http://schemas.openxmlformats.org/officeDocument/2006/relationships/image" Target="../media/image318.jpeg"/><Relationship Id="rId10" Type="http://schemas.openxmlformats.org/officeDocument/2006/relationships/image" Target="../media/image296.png"/><Relationship Id="rId19" Type="http://schemas.openxmlformats.org/officeDocument/2006/relationships/image" Target="../media/image305.png"/><Relationship Id="rId4" Type="http://schemas.openxmlformats.org/officeDocument/2006/relationships/image" Target="../media/image290.jpg"/><Relationship Id="rId9" Type="http://schemas.openxmlformats.org/officeDocument/2006/relationships/image" Target="../media/image295.png"/><Relationship Id="rId14" Type="http://schemas.openxmlformats.org/officeDocument/2006/relationships/image" Target="../media/image300.jpg"/><Relationship Id="rId22" Type="http://schemas.openxmlformats.org/officeDocument/2006/relationships/image" Target="../media/image312.png"/><Relationship Id="rId27" Type="http://schemas.openxmlformats.org/officeDocument/2006/relationships/image" Target="../media/image317.jpeg"/><Relationship Id="rId30" Type="http://schemas.openxmlformats.org/officeDocument/2006/relationships/image" Target="../media/image32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4.png"/><Relationship Id="rId2" Type="http://schemas.openxmlformats.org/officeDocument/2006/relationships/image" Target="../media/image323.png"/><Relationship Id="rId1" Type="http://schemas.openxmlformats.org/officeDocument/2006/relationships/image" Target="../media/image322.jpeg"/><Relationship Id="rId6" Type="http://schemas.openxmlformats.org/officeDocument/2006/relationships/image" Target="../media/image327.png"/><Relationship Id="rId5" Type="http://schemas.openxmlformats.org/officeDocument/2006/relationships/image" Target="../media/image326.png"/><Relationship Id="rId4" Type="http://schemas.openxmlformats.org/officeDocument/2006/relationships/image" Target="../media/image32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63748</xdr:colOff>
      <xdr:row>0</xdr:row>
      <xdr:rowOff>29132</xdr:rowOff>
    </xdr:from>
    <xdr:ext cx="552576" cy="409549"/>
    <xdr:pic>
      <xdr:nvPicPr>
        <xdr:cNvPr id="2" name="Рисунок 1">
          <a:extLst>
            <a:ext uri="{FF2B5EF4-FFF2-40B4-BE49-F238E27FC236}">
              <a16:creationId xmlns:a16="http://schemas.microsoft.com/office/drawing/2014/main" id="{D050BC1A-D306-4310-A641-CC8677D60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8" y="29132"/>
          <a:ext cx="552576" cy="409549"/>
        </a:xfrm>
        <a:prstGeom prst="rect">
          <a:avLst/>
        </a:prstGeom>
      </xdr:spPr>
    </xdr:pic>
    <xdr:clientData/>
  </xdr:oneCellAnchor>
  <xdr:twoCellAnchor editAs="oneCell">
    <xdr:from>
      <xdr:col>1</xdr:col>
      <xdr:colOff>233082</xdr:colOff>
      <xdr:row>8</xdr:row>
      <xdr:rowOff>17930</xdr:rowOff>
    </xdr:from>
    <xdr:to>
      <xdr:col>1</xdr:col>
      <xdr:colOff>743846</xdr:colOff>
      <xdr:row>8</xdr:row>
      <xdr:rowOff>550547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DFCC22B5-FAF0-4F83-94F2-6DE4C29B3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7" r="16219"/>
        <a:stretch/>
      </xdr:blipFill>
      <xdr:spPr>
        <a:xfrm>
          <a:off x="851647" y="1407459"/>
          <a:ext cx="497429" cy="545952"/>
        </a:xfrm>
        <a:prstGeom prst="rect">
          <a:avLst/>
        </a:prstGeom>
      </xdr:spPr>
    </xdr:pic>
    <xdr:clientData/>
  </xdr:twoCellAnchor>
  <xdr:twoCellAnchor editAs="oneCell">
    <xdr:from>
      <xdr:col>1</xdr:col>
      <xdr:colOff>936140</xdr:colOff>
      <xdr:row>8</xdr:row>
      <xdr:rowOff>50540</xdr:rowOff>
    </xdr:from>
    <xdr:to>
      <xdr:col>2</xdr:col>
      <xdr:colOff>226920</xdr:colOff>
      <xdr:row>8</xdr:row>
      <xdr:rowOff>587816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BD23FD0E-8843-4C41-A90F-9F992CA45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00" r="17853"/>
        <a:stretch/>
      </xdr:blipFill>
      <xdr:spPr>
        <a:xfrm>
          <a:off x="1554705" y="1440069"/>
          <a:ext cx="489248" cy="529656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9</xdr:row>
      <xdr:rowOff>64658</xdr:rowOff>
    </xdr:from>
    <xdr:to>
      <xdr:col>1</xdr:col>
      <xdr:colOff>707091</xdr:colOff>
      <xdr:row>9</xdr:row>
      <xdr:rowOff>589206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94160FB9-7A18-442D-969A-963F569A3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93" r="14947"/>
        <a:stretch/>
      </xdr:blipFill>
      <xdr:spPr>
        <a:xfrm>
          <a:off x="842683" y="2063787"/>
          <a:ext cx="494403" cy="537883"/>
        </a:xfrm>
        <a:prstGeom prst="rect">
          <a:avLst/>
        </a:prstGeom>
      </xdr:spPr>
    </xdr:pic>
    <xdr:clientData/>
  </xdr:twoCellAnchor>
  <xdr:twoCellAnchor editAs="oneCell">
    <xdr:from>
      <xdr:col>1</xdr:col>
      <xdr:colOff>951603</xdr:colOff>
      <xdr:row>9</xdr:row>
      <xdr:rowOff>53789</xdr:rowOff>
    </xdr:from>
    <xdr:to>
      <xdr:col>2</xdr:col>
      <xdr:colOff>266028</xdr:colOff>
      <xdr:row>9</xdr:row>
      <xdr:rowOff>592520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90E85F18-66EA-46A8-86EE-79A08EC16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39" r="16151"/>
        <a:stretch/>
      </xdr:blipFill>
      <xdr:spPr>
        <a:xfrm>
          <a:off x="1570168" y="2052918"/>
          <a:ext cx="518608" cy="546351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11</xdr:row>
      <xdr:rowOff>44824</xdr:rowOff>
    </xdr:from>
    <xdr:to>
      <xdr:col>1</xdr:col>
      <xdr:colOff>745417</xdr:colOff>
      <xdr:row>13</xdr:row>
      <xdr:rowOff>129988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B94636F3-791C-40FC-849B-9E922A85B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14" r="10989"/>
        <a:stretch/>
      </xdr:blipFill>
      <xdr:spPr>
        <a:xfrm>
          <a:off x="842683" y="3092824"/>
          <a:ext cx="528919" cy="507850"/>
        </a:xfrm>
        <a:prstGeom prst="rect">
          <a:avLst/>
        </a:prstGeom>
      </xdr:spPr>
    </xdr:pic>
    <xdr:clientData/>
  </xdr:twoCellAnchor>
  <xdr:twoCellAnchor editAs="oneCell">
    <xdr:from>
      <xdr:col>1</xdr:col>
      <xdr:colOff>929080</xdr:colOff>
      <xdr:row>11</xdr:row>
      <xdr:rowOff>48633</xdr:rowOff>
    </xdr:from>
    <xdr:to>
      <xdr:col>2</xdr:col>
      <xdr:colOff>226919</xdr:colOff>
      <xdr:row>13</xdr:row>
      <xdr:rowOff>93633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3BE2B668-47E5-40E8-BAE7-9D8D4BB66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59" r="8373"/>
        <a:stretch/>
      </xdr:blipFill>
      <xdr:spPr>
        <a:xfrm>
          <a:off x="1547645" y="3096633"/>
          <a:ext cx="496307" cy="484831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268941</xdr:colOff>
      <xdr:row>14</xdr:row>
      <xdr:rowOff>101860</xdr:rowOff>
    </xdr:from>
    <xdr:to>
      <xdr:col>1</xdr:col>
      <xdr:colOff>914960</xdr:colOff>
      <xdr:row>16</xdr:row>
      <xdr:rowOff>95698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DC5B7382-E0E5-49FE-9EFF-E4EB3C899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7" r="11131"/>
        <a:stretch/>
      </xdr:blipFill>
      <xdr:spPr>
        <a:xfrm>
          <a:off x="887506" y="3795319"/>
          <a:ext cx="646019" cy="414617"/>
        </a:xfrm>
        <a:prstGeom prst="rect">
          <a:avLst/>
        </a:prstGeom>
      </xdr:spPr>
    </xdr:pic>
    <xdr:clientData/>
  </xdr:twoCellAnchor>
  <xdr:twoCellAnchor editAs="oneCell">
    <xdr:from>
      <xdr:col>1</xdr:col>
      <xdr:colOff>950257</xdr:colOff>
      <xdr:row>14</xdr:row>
      <xdr:rowOff>89647</xdr:rowOff>
    </xdr:from>
    <xdr:to>
      <xdr:col>2</xdr:col>
      <xdr:colOff>188035</xdr:colOff>
      <xdr:row>16</xdr:row>
      <xdr:rowOff>93858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B9E089F2-E1D6-48E0-8B20-5EBC71744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8" r="10074"/>
        <a:stretch/>
      </xdr:blipFill>
      <xdr:spPr>
        <a:xfrm>
          <a:off x="1568822" y="3783106"/>
          <a:ext cx="449581" cy="43070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17</xdr:row>
      <xdr:rowOff>26894</xdr:rowOff>
    </xdr:from>
    <xdr:to>
      <xdr:col>1</xdr:col>
      <xdr:colOff>819608</xdr:colOff>
      <xdr:row>19</xdr:row>
      <xdr:rowOff>110490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4BB85FCA-3552-4A02-8AE3-0F429AAFE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7" r="10949"/>
        <a:stretch/>
      </xdr:blipFill>
      <xdr:spPr>
        <a:xfrm>
          <a:off x="842683" y="4365812"/>
          <a:ext cx="582155" cy="513902"/>
        </a:xfrm>
        <a:prstGeom prst="rect">
          <a:avLst/>
        </a:prstGeom>
      </xdr:spPr>
    </xdr:pic>
    <xdr:clientData/>
  </xdr:twoCellAnchor>
  <xdr:twoCellAnchor editAs="oneCell">
    <xdr:from>
      <xdr:col>1</xdr:col>
      <xdr:colOff>960576</xdr:colOff>
      <xdr:row>17</xdr:row>
      <xdr:rowOff>49980</xdr:rowOff>
    </xdr:from>
    <xdr:to>
      <xdr:col>2</xdr:col>
      <xdr:colOff>227704</xdr:colOff>
      <xdr:row>19</xdr:row>
      <xdr:rowOff>56769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E14F6BD8-0687-4FFA-BF0B-DDDBD06F2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21" r="7117"/>
        <a:stretch/>
      </xdr:blipFill>
      <xdr:spPr>
        <a:xfrm>
          <a:off x="1579141" y="4388898"/>
          <a:ext cx="482741" cy="450430"/>
        </a:xfrm>
        <a:prstGeom prst="rect">
          <a:avLst/>
        </a:prstGeom>
      </xdr:spPr>
    </xdr:pic>
    <xdr:clientData/>
  </xdr:twoCellAnchor>
  <xdr:twoCellAnchor editAs="oneCell">
    <xdr:from>
      <xdr:col>1</xdr:col>
      <xdr:colOff>139960</xdr:colOff>
      <xdr:row>20</xdr:row>
      <xdr:rowOff>89647</xdr:rowOff>
    </xdr:from>
    <xdr:to>
      <xdr:col>1</xdr:col>
      <xdr:colOff>632348</xdr:colOff>
      <xdr:row>22</xdr:row>
      <xdr:rowOff>114365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CD0E7857-3A25-4CF0-B280-F693133C0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79" r="16074"/>
        <a:stretch/>
      </xdr:blipFill>
      <xdr:spPr>
        <a:xfrm>
          <a:off x="745078" y="5132294"/>
          <a:ext cx="501913" cy="472953"/>
        </a:xfrm>
        <a:prstGeom prst="rect">
          <a:avLst/>
        </a:prstGeom>
      </xdr:spPr>
    </xdr:pic>
    <xdr:clientData/>
  </xdr:twoCellAnchor>
  <xdr:twoCellAnchor editAs="oneCell">
    <xdr:from>
      <xdr:col>1</xdr:col>
      <xdr:colOff>718520</xdr:colOff>
      <xdr:row>20</xdr:row>
      <xdr:rowOff>87406</xdr:rowOff>
    </xdr:from>
    <xdr:to>
      <xdr:col>2</xdr:col>
      <xdr:colOff>57150</xdr:colOff>
      <xdr:row>22</xdr:row>
      <xdr:rowOff>96817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2D17F1B-A04D-4A08-B586-0FD662D8F3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10" r="6601"/>
        <a:stretch/>
      </xdr:blipFill>
      <xdr:spPr>
        <a:xfrm>
          <a:off x="1323638" y="5130053"/>
          <a:ext cx="500007" cy="450026"/>
        </a:xfrm>
        <a:prstGeom prst="rect">
          <a:avLst/>
        </a:prstGeom>
      </xdr:spPr>
    </xdr:pic>
    <xdr:clientData/>
  </xdr:twoCellAnchor>
  <xdr:twoCellAnchor editAs="oneCell">
    <xdr:from>
      <xdr:col>1</xdr:col>
      <xdr:colOff>117214</xdr:colOff>
      <xdr:row>23</xdr:row>
      <xdr:rowOff>63459</xdr:rowOff>
    </xdr:from>
    <xdr:to>
      <xdr:col>1</xdr:col>
      <xdr:colOff>613409</xdr:colOff>
      <xdr:row>25</xdr:row>
      <xdr:rowOff>115903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EE021826-E692-40A4-A1D4-67D85891E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79" r="15762"/>
        <a:stretch/>
      </xdr:blipFill>
      <xdr:spPr>
        <a:xfrm>
          <a:off x="722332" y="5778459"/>
          <a:ext cx="496195" cy="500678"/>
        </a:xfrm>
        <a:prstGeom prst="rect">
          <a:avLst/>
        </a:prstGeom>
      </xdr:spPr>
    </xdr:pic>
    <xdr:clientData/>
  </xdr:twoCellAnchor>
  <xdr:twoCellAnchor editAs="oneCell">
    <xdr:from>
      <xdr:col>1</xdr:col>
      <xdr:colOff>696334</xdr:colOff>
      <xdr:row>23</xdr:row>
      <xdr:rowOff>59168</xdr:rowOff>
    </xdr:from>
    <xdr:to>
      <xdr:col>2</xdr:col>
      <xdr:colOff>56030</xdr:colOff>
      <xdr:row>25</xdr:row>
      <xdr:rowOff>112060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D0B12106-FBD8-41A3-9A07-3B9993643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9" r="10622"/>
        <a:stretch/>
      </xdr:blipFill>
      <xdr:spPr>
        <a:xfrm>
          <a:off x="1301452" y="5774168"/>
          <a:ext cx="536313" cy="501126"/>
        </a:xfrm>
        <a:prstGeom prst="rect">
          <a:avLst/>
        </a:prstGeom>
      </xdr:spPr>
    </xdr:pic>
    <xdr:clientData/>
  </xdr:twoCellAnchor>
  <xdr:twoCellAnchor editAs="oneCell">
    <xdr:from>
      <xdr:col>1</xdr:col>
      <xdr:colOff>150159</xdr:colOff>
      <xdr:row>26</xdr:row>
      <xdr:rowOff>92605</xdr:rowOff>
    </xdr:from>
    <xdr:to>
      <xdr:col>1</xdr:col>
      <xdr:colOff>647701</xdr:colOff>
      <xdr:row>28</xdr:row>
      <xdr:rowOff>131107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50785B5E-7B23-41C5-9784-FC253FE08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3" r="15453"/>
        <a:stretch/>
      </xdr:blipFill>
      <xdr:spPr>
        <a:xfrm>
          <a:off x="755277" y="6479958"/>
          <a:ext cx="497542" cy="481022"/>
        </a:xfrm>
        <a:prstGeom prst="rect">
          <a:avLst/>
        </a:prstGeom>
      </xdr:spPr>
    </xdr:pic>
    <xdr:clientData/>
  </xdr:twoCellAnchor>
  <xdr:twoCellAnchor editAs="oneCell">
    <xdr:from>
      <xdr:col>1</xdr:col>
      <xdr:colOff>709218</xdr:colOff>
      <xdr:row>26</xdr:row>
      <xdr:rowOff>85165</xdr:rowOff>
    </xdr:from>
    <xdr:to>
      <xdr:col>2</xdr:col>
      <xdr:colOff>21179</xdr:colOff>
      <xdr:row>28</xdr:row>
      <xdr:rowOff>116544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1F4D7A1-D6E2-4241-87FA-70C140C12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4" r="7246"/>
        <a:stretch/>
      </xdr:blipFill>
      <xdr:spPr>
        <a:xfrm>
          <a:off x="1314336" y="6472518"/>
          <a:ext cx="498103" cy="479614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179294</xdr:colOff>
      <xdr:row>58</xdr:row>
      <xdr:rowOff>46730</xdr:rowOff>
    </xdr:from>
    <xdr:to>
      <xdr:col>4</xdr:col>
      <xdr:colOff>819339</xdr:colOff>
      <xdr:row>58</xdr:row>
      <xdr:rowOff>663950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FEBE145F-3C82-441A-928A-1E3786E5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988" y="18352659"/>
          <a:ext cx="626710" cy="621030"/>
        </a:xfrm>
        <a:prstGeom prst="rect">
          <a:avLst/>
        </a:prstGeom>
      </xdr:spPr>
    </xdr:pic>
    <xdr:clientData/>
  </xdr:twoCellAnchor>
  <xdr:twoCellAnchor editAs="oneCell">
    <xdr:from>
      <xdr:col>5</xdr:col>
      <xdr:colOff>518051</xdr:colOff>
      <xdr:row>58</xdr:row>
      <xdr:rowOff>44824</xdr:rowOff>
    </xdr:from>
    <xdr:to>
      <xdr:col>6</xdr:col>
      <xdr:colOff>399041</xdr:colOff>
      <xdr:row>58</xdr:row>
      <xdr:rowOff>703842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48CDD37E-C850-437A-BEFE-A0D193DC7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827" y="18350753"/>
          <a:ext cx="719079" cy="672353"/>
        </a:xfrm>
        <a:prstGeom prst="rect">
          <a:avLst/>
        </a:prstGeom>
      </xdr:spPr>
    </xdr:pic>
    <xdr:clientData/>
  </xdr:twoCellAnchor>
  <xdr:twoCellAnchor editAs="oneCell">
    <xdr:from>
      <xdr:col>1</xdr:col>
      <xdr:colOff>64321</xdr:colOff>
      <xdr:row>36</xdr:row>
      <xdr:rowOff>130660</xdr:rowOff>
    </xdr:from>
    <xdr:to>
      <xdr:col>1</xdr:col>
      <xdr:colOff>589205</xdr:colOff>
      <xdr:row>37</xdr:row>
      <xdr:rowOff>208763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26091456-0288-4380-AB5D-07C032BCF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39" y="9072954"/>
          <a:ext cx="540124" cy="388282"/>
        </a:xfrm>
        <a:prstGeom prst="rect">
          <a:avLst/>
        </a:prstGeom>
      </xdr:spPr>
    </xdr:pic>
    <xdr:clientData/>
  </xdr:twoCellAnchor>
  <xdr:twoCellAnchor editAs="oneCell">
    <xdr:from>
      <xdr:col>1</xdr:col>
      <xdr:colOff>138282</xdr:colOff>
      <xdr:row>32</xdr:row>
      <xdr:rowOff>80682</xdr:rowOff>
    </xdr:from>
    <xdr:to>
      <xdr:col>1</xdr:col>
      <xdr:colOff>761216</xdr:colOff>
      <xdr:row>33</xdr:row>
      <xdr:rowOff>228039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3DC1EF2D-7C7B-439A-807B-2502756D3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2"/>
        <a:stretch/>
      </xdr:blipFill>
      <xdr:spPr>
        <a:xfrm>
          <a:off x="756847" y="8937811"/>
          <a:ext cx="622934" cy="452157"/>
        </a:xfrm>
        <a:prstGeom prst="rect">
          <a:avLst/>
        </a:prstGeom>
      </xdr:spPr>
    </xdr:pic>
    <xdr:clientData/>
  </xdr:twoCellAnchor>
  <xdr:twoCellAnchor editAs="oneCell">
    <xdr:from>
      <xdr:col>1</xdr:col>
      <xdr:colOff>932330</xdr:colOff>
      <xdr:row>32</xdr:row>
      <xdr:rowOff>147244</xdr:rowOff>
    </xdr:from>
    <xdr:to>
      <xdr:col>2</xdr:col>
      <xdr:colOff>379320</xdr:colOff>
      <xdr:row>33</xdr:row>
      <xdr:rowOff>245969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931F30DE-DE5D-4273-BCD7-A46517EEF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895" y="9004373"/>
          <a:ext cx="645458" cy="407335"/>
        </a:xfrm>
        <a:prstGeom prst="rect">
          <a:avLst/>
        </a:prstGeom>
      </xdr:spPr>
    </xdr:pic>
    <xdr:clientData/>
  </xdr:twoCellAnchor>
  <xdr:twoCellAnchor editAs="oneCell">
    <xdr:from>
      <xdr:col>1</xdr:col>
      <xdr:colOff>119790</xdr:colOff>
      <xdr:row>34</xdr:row>
      <xdr:rowOff>80681</xdr:rowOff>
    </xdr:from>
    <xdr:to>
      <xdr:col>1</xdr:col>
      <xdr:colOff>743285</xdr:colOff>
      <xdr:row>35</xdr:row>
      <xdr:rowOff>244511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2A0845B-096E-4026-B4A3-D2283A195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355" y="9547410"/>
          <a:ext cx="61397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986118</xdr:colOff>
      <xdr:row>34</xdr:row>
      <xdr:rowOff>129315</xdr:rowOff>
    </xdr:from>
    <xdr:to>
      <xdr:col>2</xdr:col>
      <xdr:colOff>364975</xdr:colOff>
      <xdr:row>35</xdr:row>
      <xdr:rowOff>286757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2ED575EC-9D36-4939-8EA4-7CDA0882C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683" y="9596044"/>
          <a:ext cx="546845" cy="458432"/>
        </a:xfrm>
        <a:prstGeom prst="rect">
          <a:avLst/>
        </a:prstGeom>
      </xdr:spPr>
    </xdr:pic>
    <xdr:clientData/>
  </xdr:twoCellAnchor>
  <xdr:twoCellAnchor editAs="oneCell">
    <xdr:from>
      <xdr:col>1</xdr:col>
      <xdr:colOff>647025</xdr:colOff>
      <xdr:row>36</xdr:row>
      <xdr:rowOff>75304</xdr:rowOff>
    </xdr:from>
    <xdr:to>
      <xdr:col>2</xdr:col>
      <xdr:colOff>22300</xdr:colOff>
      <xdr:row>37</xdr:row>
      <xdr:rowOff>249554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AE15C94E-1076-41D8-9827-4AAF539A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143" y="9017598"/>
          <a:ext cx="551892" cy="469189"/>
        </a:xfrm>
        <a:prstGeom prst="rect">
          <a:avLst/>
        </a:prstGeom>
      </xdr:spPr>
    </xdr:pic>
    <xdr:clientData/>
  </xdr:twoCellAnchor>
  <xdr:twoCellAnchor editAs="oneCell">
    <xdr:from>
      <xdr:col>1</xdr:col>
      <xdr:colOff>131219</xdr:colOff>
      <xdr:row>38</xdr:row>
      <xdr:rowOff>51438</xdr:rowOff>
    </xdr:from>
    <xdr:to>
      <xdr:col>1</xdr:col>
      <xdr:colOff>726140</xdr:colOff>
      <xdr:row>39</xdr:row>
      <xdr:rowOff>208430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CD39A045-329C-452A-B1FC-6948CE161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84" y="11346967"/>
          <a:ext cx="594921" cy="471317"/>
        </a:xfrm>
        <a:prstGeom prst="rect">
          <a:avLst/>
        </a:prstGeom>
      </xdr:spPr>
    </xdr:pic>
    <xdr:clientData/>
  </xdr:twoCellAnchor>
  <xdr:twoCellAnchor editAs="oneCell">
    <xdr:from>
      <xdr:col>1</xdr:col>
      <xdr:colOff>936139</xdr:colOff>
      <xdr:row>38</xdr:row>
      <xdr:rowOff>46169</xdr:rowOff>
    </xdr:from>
    <xdr:to>
      <xdr:col>2</xdr:col>
      <xdr:colOff>287767</xdr:colOff>
      <xdr:row>39</xdr:row>
      <xdr:rowOff>207646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E6F15ECE-2400-411E-A4A8-DD1B7DAF2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4704" y="11341698"/>
          <a:ext cx="552001" cy="470087"/>
        </a:xfrm>
        <a:prstGeom prst="rect">
          <a:avLst/>
        </a:prstGeom>
      </xdr:spPr>
    </xdr:pic>
    <xdr:clientData/>
  </xdr:twoCellAnchor>
  <xdr:twoCellAnchor editAs="oneCell">
    <xdr:from>
      <xdr:col>1</xdr:col>
      <xdr:colOff>99283</xdr:colOff>
      <xdr:row>40</xdr:row>
      <xdr:rowOff>76200</xdr:rowOff>
    </xdr:from>
    <xdr:to>
      <xdr:col>1</xdr:col>
      <xdr:colOff>649268</xdr:colOff>
      <xdr:row>41</xdr:row>
      <xdr:rowOff>265768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23842F4C-001C-4AD6-8AA2-3145B03E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401" y="10228729"/>
          <a:ext cx="549985" cy="492127"/>
        </a:xfrm>
        <a:prstGeom prst="rect">
          <a:avLst/>
        </a:prstGeom>
      </xdr:spPr>
    </xdr:pic>
    <xdr:clientData/>
  </xdr:twoCellAnchor>
  <xdr:twoCellAnchor editAs="oneCell">
    <xdr:from>
      <xdr:col>1</xdr:col>
      <xdr:colOff>738914</xdr:colOff>
      <xdr:row>40</xdr:row>
      <xdr:rowOff>82924</xdr:rowOff>
    </xdr:from>
    <xdr:to>
      <xdr:col>2</xdr:col>
      <xdr:colOff>134584</xdr:colOff>
      <xdr:row>41</xdr:row>
      <xdr:rowOff>247445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4A770CCC-0505-4999-86F5-4E2E8C7C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032" y="10235453"/>
          <a:ext cx="560857" cy="474700"/>
        </a:xfrm>
        <a:prstGeom prst="rect">
          <a:avLst/>
        </a:prstGeom>
      </xdr:spPr>
    </xdr:pic>
    <xdr:clientData/>
  </xdr:twoCellAnchor>
  <xdr:twoCellAnchor editAs="oneCell">
    <xdr:from>
      <xdr:col>1</xdr:col>
      <xdr:colOff>52892</xdr:colOff>
      <xdr:row>42</xdr:row>
      <xdr:rowOff>87406</xdr:rowOff>
    </xdr:from>
    <xdr:to>
      <xdr:col>1</xdr:col>
      <xdr:colOff>553122</xdr:colOff>
      <xdr:row>43</xdr:row>
      <xdr:rowOff>251347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E4E6CFDA-AC47-4299-A3F4-470B6AA6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10" y="10845053"/>
          <a:ext cx="484990" cy="458880"/>
        </a:xfrm>
        <a:prstGeom prst="rect">
          <a:avLst/>
        </a:prstGeom>
      </xdr:spPr>
    </xdr:pic>
    <xdr:clientData/>
  </xdr:twoCellAnchor>
  <xdr:twoCellAnchor editAs="oneCell">
    <xdr:from>
      <xdr:col>1</xdr:col>
      <xdr:colOff>614418</xdr:colOff>
      <xdr:row>42</xdr:row>
      <xdr:rowOff>65329</xdr:rowOff>
    </xdr:from>
    <xdr:to>
      <xdr:col>1</xdr:col>
      <xdr:colOff>1120140</xdr:colOff>
      <xdr:row>43</xdr:row>
      <xdr:rowOff>250450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496B96FD-36F1-4F8F-8605-4CE34B12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536" y="10822976"/>
          <a:ext cx="513342" cy="497205"/>
        </a:xfrm>
        <a:prstGeom prst="rect">
          <a:avLst/>
        </a:prstGeom>
      </xdr:spPr>
    </xdr:pic>
    <xdr:clientData/>
  </xdr:twoCellAnchor>
  <xdr:twoCellAnchor editAs="oneCell">
    <xdr:from>
      <xdr:col>1</xdr:col>
      <xdr:colOff>79786</xdr:colOff>
      <xdr:row>44</xdr:row>
      <xdr:rowOff>75789</xdr:rowOff>
    </xdr:from>
    <xdr:to>
      <xdr:col>1</xdr:col>
      <xdr:colOff>550770</xdr:colOff>
      <xdr:row>45</xdr:row>
      <xdr:rowOff>245182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A51302C9-4838-4CC6-8026-0D0D5942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04" y="11438554"/>
          <a:ext cx="478604" cy="471952"/>
        </a:xfrm>
        <a:prstGeom prst="rect">
          <a:avLst/>
        </a:prstGeom>
      </xdr:spPr>
    </xdr:pic>
    <xdr:clientData/>
  </xdr:twoCellAnchor>
  <xdr:twoCellAnchor editAs="oneCell">
    <xdr:from>
      <xdr:col>1</xdr:col>
      <xdr:colOff>614082</xdr:colOff>
      <xdr:row>44</xdr:row>
      <xdr:rowOff>71446</xdr:rowOff>
    </xdr:from>
    <xdr:to>
      <xdr:col>1</xdr:col>
      <xdr:colOff>1084729</xdr:colOff>
      <xdr:row>45</xdr:row>
      <xdr:rowOff>245183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C5C62091-980D-42CC-8ACB-B26809AEA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1434211"/>
          <a:ext cx="470647" cy="47629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46</xdr:row>
      <xdr:rowOff>51883</xdr:rowOff>
    </xdr:from>
    <xdr:to>
      <xdr:col>1</xdr:col>
      <xdr:colOff>761999</xdr:colOff>
      <xdr:row>47</xdr:row>
      <xdr:rowOff>228039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4E90EB57-23C4-456E-B937-30B6D29CD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965" y="15614612"/>
          <a:ext cx="609599" cy="480956"/>
        </a:xfrm>
        <a:prstGeom prst="rect">
          <a:avLst/>
        </a:prstGeom>
      </xdr:spPr>
    </xdr:pic>
    <xdr:clientData/>
  </xdr:twoCellAnchor>
  <xdr:twoCellAnchor editAs="oneCell">
    <xdr:from>
      <xdr:col>1</xdr:col>
      <xdr:colOff>932330</xdr:colOff>
      <xdr:row>46</xdr:row>
      <xdr:rowOff>48634</xdr:rowOff>
    </xdr:from>
    <xdr:to>
      <xdr:col>2</xdr:col>
      <xdr:colOff>301887</xdr:colOff>
      <xdr:row>47</xdr:row>
      <xdr:rowOff>247650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E762391B-1004-46FE-AADB-22581BBF3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895" y="15611363"/>
          <a:ext cx="573740" cy="507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87741</xdr:colOff>
      <xdr:row>48</xdr:row>
      <xdr:rowOff>87159</xdr:rowOff>
    </xdr:from>
    <xdr:to>
      <xdr:col>1</xdr:col>
      <xdr:colOff>594247</xdr:colOff>
      <xdr:row>49</xdr:row>
      <xdr:rowOff>209436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83D20258-31CB-47F0-88B2-40A1B798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859" y="12660159"/>
          <a:ext cx="498886" cy="440076"/>
        </a:xfrm>
        <a:prstGeom prst="rect">
          <a:avLst/>
        </a:prstGeom>
      </xdr:spPr>
    </xdr:pic>
    <xdr:clientData/>
  </xdr:twoCellAnchor>
  <xdr:twoCellAnchor editAs="oneCell">
    <xdr:from>
      <xdr:col>1</xdr:col>
      <xdr:colOff>720763</xdr:colOff>
      <xdr:row>48</xdr:row>
      <xdr:rowOff>115868</xdr:rowOff>
    </xdr:from>
    <xdr:to>
      <xdr:col>2</xdr:col>
      <xdr:colOff>97940</xdr:colOff>
      <xdr:row>49</xdr:row>
      <xdr:rowOff>244174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44722EF9-8554-4569-9B08-B3464F7E7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1" y="12688868"/>
          <a:ext cx="553794" cy="42134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54</xdr:row>
      <xdr:rowOff>115386</xdr:rowOff>
    </xdr:from>
    <xdr:to>
      <xdr:col>1</xdr:col>
      <xdr:colOff>778584</xdr:colOff>
      <xdr:row>56</xdr:row>
      <xdr:rowOff>21287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565F6DF7-2D3B-42AA-A0A5-B71FCE77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212" y="17506915"/>
          <a:ext cx="685127" cy="375878"/>
        </a:xfrm>
        <a:prstGeom prst="rect">
          <a:avLst/>
        </a:prstGeom>
      </xdr:spPr>
    </xdr:pic>
    <xdr:clientData/>
  </xdr:twoCellAnchor>
  <xdr:twoCellAnchor editAs="oneCell">
    <xdr:from>
      <xdr:col>1</xdr:col>
      <xdr:colOff>863861</xdr:colOff>
      <xdr:row>54</xdr:row>
      <xdr:rowOff>134006</xdr:rowOff>
    </xdr:from>
    <xdr:to>
      <xdr:col>2</xdr:col>
      <xdr:colOff>266028</xdr:colOff>
      <xdr:row>56</xdr:row>
      <xdr:rowOff>57707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CEDDD0E9-AE0A-4673-B332-F9EAE6A6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426" y="17525535"/>
          <a:ext cx="606350" cy="380343"/>
        </a:xfrm>
        <a:prstGeom prst="rect">
          <a:avLst/>
        </a:prstGeom>
      </xdr:spPr>
    </xdr:pic>
    <xdr:clientData/>
  </xdr:twoCellAnchor>
  <xdr:twoCellAnchor editAs="oneCell">
    <xdr:from>
      <xdr:col>1</xdr:col>
      <xdr:colOff>985876</xdr:colOff>
      <xdr:row>52</xdr:row>
      <xdr:rowOff>22411</xdr:rowOff>
    </xdr:from>
    <xdr:to>
      <xdr:col>2</xdr:col>
      <xdr:colOff>132758</xdr:colOff>
      <xdr:row>52</xdr:row>
      <xdr:rowOff>479948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C11EE028-130F-4351-8900-70472D35CD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73" r="36248"/>
        <a:stretch/>
      </xdr:blipFill>
      <xdr:spPr>
        <a:xfrm>
          <a:off x="1611805" y="13357411"/>
          <a:ext cx="357917" cy="457537"/>
        </a:xfrm>
        <a:prstGeom prst="rect">
          <a:avLst/>
        </a:prstGeom>
      </xdr:spPr>
    </xdr:pic>
    <xdr:clientData/>
  </xdr:twoCellAnchor>
  <xdr:twoCellAnchor editAs="oneCell">
    <xdr:from>
      <xdr:col>1</xdr:col>
      <xdr:colOff>341669</xdr:colOff>
      <xdr:row>52</xdr:row>
      <xdr:rowOff>34590</xdr:rowOff>
    </xdr:from>
    <xdr:to>
      <xdr:col>1</xdr:col>
      <xdr:colOff>721888</xdr:colOff>
      <xdr:row>52</xdr:row>
      <xdr:rowOff>495485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1CA4CECC-C7C4-4262-B76E-A528AAC5F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9" r="35400"/>
        <a:stretch/>
      </xdr:blipFill>
      <xdr:spPr>
        <a:xfrm>
          <a:off x="957993" y="17280443"/>
          <a:ext cx="380219" cy="460895"/>
        </a:xfrm>
        <a:prstGeom prst="rect">
          <a:avLst/>
        </a:prstGeom>
      </xdr:spPr>
    </xdr:pic>
    <xdr:clientData/>
  </xdr:twoCellAnchor>
  <xdr:twoCellAnchor editAs="oneCell">
    <xdr:from>
      <xdr:col>1</xdr:col>
      <xdr:colOff>975327</xdr:colOff>
      <xdr:row>53</xdr:row>
      <xdr:rowOff>54578</xdr:rowOff>
    </xdr:from>
    <xdr:to>
      <xdr:col>2</xdr:col>
      <xdr:colOff>134432</xdr:colOff>
      <xdr:row>53</xdr:row>
      <xdr:rowOff>472552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63896E80-B11F-46BE-9FB0-8D5AC61DA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36" r="35142"/>
        <a:stretch/>
      </xdr:blipFill>
      <xdr:spPr>
        <a:xfrm>
          <a:off x="1591651" y="17815902"/>
          <a:ext cx="340988" cy="417974"/>
        </a:xfrm>
        <a:prstGeom prst="rect">
          <a:avLst/>
        </a:prstGeom>
      </xdr:spPr>
    </xdr:pic>
    <xdr:clientData/>
  </xdr:twoCellAnchor>
  <xdr:twoCellAnchor editAs="oneCell">
    <xdr:from>
      <xdr:col>1</xdr:col>
      <xdr:colOff>358667</xdr:colOff>
      <xdr:row>53</xdr:row>
      <xdr:rowOff>29287</xdr:rowOff>
    </xdr:from>
    <xdr:to>
      <xdr:col>1</xdr:col>
      <xdr:colOff>706414</xdr:colOff>
      <xdr:row>53</xdr:row>
      <xdr:rowOff>479787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331D9A15-2F34-420B-839B-31E2C2D8E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40" r="35079"/>
        <a:stretch/>
      </xdr:blipFill>
      <xdr:spPr>
        <a:xfrm>
          <a:off x="974991" y="17790611"/>
          <a:ext cx="347747" cy="45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134469</xdr:colOff>
      <xdr:row>20</xdr:row>
      <xdr:rowOff>112059</xdr:rowOff>
    </xdr:from>
    <xdr:to>
      <xdr:col>2</xdr:col>
      <xdr:colOff>593910</xdr:colOff>
      <xdr:row>22</xdr:row>
      <xdr:rowOff>97267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C9C934CB-AEC8-493D-BA8E-53F4AD5B7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204" y="5154706"/>
          <a:ext cx="459441" cy="425823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145676</xdr:colOff>
      <xdr:row>26</xdr:row>
      <xdr:rowOff>123265</xdr:rowOff>
    </xdr:from>
    <xdr:to>
      <xdr:col>2</xdr:col>
      <xdr:colOff>625848</xdr:colOff>
      <xdr:row>28</xdr:row>
      <xdr:rowOff>93234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26D90AA0-9590-4DD7-9769-D2D7FCC73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1" y="6510618"/>
          <a:ext cx="470647" cy="425824"/>
        </a:xfrm>
        <a:prstGeom prst="rect">
          <a:avLst/>
        </a:prstGeom>
      </xdr:spPr>
    </xdr:pic>
    <xdr:clientData/>
  </xdr:twoCellAnchor>
  <xdr:twoCellAnchor editAs="oneCell">
    <xdr:from>
      <xdr:col>1</xdr:col>
      <xdr:colOff>22413</xdr:colOff>
      <xdr:row>29</xdr:row>
      <xdr:rowOff>100853</xdr:rowOff>
    </xdr:from>
    <xdr:to>
      <xdr:col>1</xdr:col>
      <xdr:colOff>358588</xdr:colOff>
      <xdr:row>31</xdr:row>
      <xdr:rowOff>116507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4273520-60FB-4BF7-A402-6892A9BB0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1" y="7160559"/>
          <a:ext cx="336175" cy="463889"/>
        </a:xfrm>
        <a:prstGeom prst="rect">
          <a:avLst/>
        </a:prstGeom>
      </xdr:spPr>
    </xdr:pic>
    <xdr:clientData/>
  </xdr:twoCellAnchor>
  <xdr:twoCellAnchor editAs="oneCell">
    <xdr:from>
      <xdr:col>1</xdr:col>
      <xdr:colOff>403412</xdr:colOff>
      <xdr:row>29</xdr:row>
      <xdr:rowOff>100851</xdr:rowOff>
    </xdr:from>
    <xdr:to>
      <xdr:col>1</xdr:col>
      <xdr:colOff>784188</xdr:colOff>
      <xdr:row>31</xdr:row>
      <xdr:rowOff>132285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EB718105-2CBB-44CB-970F-C01BF1D55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0" y="7160557"/>
          <a:ext cx="390301" cy="487289"/>
        </a:xfrm>
        <a:prstGeom prst="rect">
          <a:avLst/>
        </a:prstGeom>
      </xdr:spPr>
    </xdr:pic>
    <xdr:clientData/>
  </xdr:twoCellAnchor>
  <xdr:twoCellAnchor editAs="oneCell">
    <xdr:from>
      <xdr:col>1</xdr:col>
      <xdr:colOff>818030</xdr:colOff>
      <xdr:row>29</xdr:row>
      <xdr:rowOff>100853</xdr:rowOff>
    </xdr:from>
    <xdr:to>
      <xdr:col>2</xdr:col>
      <xdr:colOff>16696</xdr:colOff>
      <xdr:row>31</xdr:row>
      <xdr:rowOff>93580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56A94784-C505-45CF-871A-43B44508E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148" y="7160559"/>
          <a:ext cx="382903" cy="456202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</xdr:colOff>
      <xdr:row>29</xdr:row>
      <xdr:rowOff>100853</xdr:rowOff>
    </xdr:from>
    <xdr:to>
      <xdr:col>2</xdr:col>
      <xdr:colOff>437737</xdr:colOff>
      <xdr:row>31</xdr:row>
      <xdr:rowOff>150126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14408C43-5F24-4E23-BA99-C62A8B8E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558" y="7160559"/>
          <a:ext cx="392914" cy="497508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29</xdr:row>
      <xdr:rowOff>112059</xdr:rowOff>
    </xdr:from>
    <xdr:to>
      <xdr:col>2</xdr:col>
      <xdr:colOff>859639</xdr:colOff>
      <xdr:row>31</xdr:row>
      <xdr:rowOff>172762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AC8C5C98-50EE-4E6E-AF79-66D4DF6D9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8459" y="7171765"/>
          <a:ext cx="392915" cy="497508"/>
        </a:xfrm>
        <a:prstGeom prst="rect">
          <a:avLst/>
        </a:prstGeom>
      </xdr:spPr>
    </xdr:pic>
    <xdr:clientData/>
  </xdr:twoCellAnchor>
  <xdr:twoCellAnchor editAs="oneCell">
    <xdr:from>
      <xdr:col>2</xdr:col>
      <xdr:colOff>168089</xdr:colOff>
      <xdr:row>36</xdr:row>
      <xdr:rowOff>100853</xdr:rowOff>
    </xdr:from>
    <xdr:to>
      <xdr:col>2</xdr:col>
      <xdr:colOff>554145</xdr:colOff>
      <xdr:row>37</xdr:row>
      <xdr:rowOff>231523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4C550F1C-5ACC-44A5-A0B8-7A801E4C2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4" y="9043147"/>
          <a:ext cx="378436" cy="433229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40</xdr:row>
      <xdr:rowOff>78442</xdr:rowOff>
    </xdr:from>
    <xdr:to>
      <xdr:col>2</xdr:col>
      <xdr:colOff>683558</xdr:colOff>
      <xdr:row>41</xdr:row>
      <xdr:rowOff>246307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9CE9D4E5-0630-4182-9E0C-8EE5A93C1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4" y="10230971"/>
          <a:ext cx="493059" cy="481854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224117</xdr:colOff>
      <xdr:row>48</xdr:row>
      <xdr:rowOff>100853</xdr:rowOff>
    </xdr:from>
    <xdr:to>
      <xdr:col>2</xdr:col>
      <xdr:colOff>649940</xdr:colOff>
      <xdr:row>49</xdr:row>
      <xdr:rowOff>205996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B8524046-BDE7-44DA-BF53-22B75FC21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852" y="12673853"/>
          <a:ext cx="425823" cy="415322"/>
        </a:xfrm>
        <a:prstGeom prst="rect">
          <a:avLst/>
        </a:prstGeom>
      </xdr:spPr>
    </xdr:pic>
    <xdr:clientData/>
  </xdr:twoCellAnchor>
  <xdr:twoCellAnchor editAs="oneCell">
    <xdr:from>
      <xdr:col>1</xdr:col>
      <xdr:colOff>62081</xdr:colOff>
      <xdr:row>50</xdr:row>
      <xdr:rowOff>90780</xdr:rowOff>
    </xdr:from>
    <xdr:to>
      <xdr:col>1</xdr:col>
      <xdr:colOff>381000</xdr:colOff>
      <xdr:row>51</xdr:row>
      <xdr:rowOff>248423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3C5B7154-5C40-4A31-8D0F-D686FE994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199" y="13268898"/>
          <a:ext cx="318919" cy="444961"/>
        </a:xfrm>
        <a:prstGeom prst="rect">
          <a:avLst/>
        </a:prstGeom>
      </xdr:spPr>
    </xdr:pic>
    <xdr:clientData/>
  </xdr:twoCellAnchor>
  <xdr:twoCellAnchor editAs="oneCell">
    <xdr:from>
      <xdr:col>1</xdr:col>
      <xdr:colOff>849742</xdr:colOff>
      <xdr:row>50</xdr:row>
      <xdr:rowOff>89647</xdr:rowOff>
    </xdr:from>
    <xdr:to>
      <xdr:col>2</xdr:col>
      <xdr:colOff>17465</xdr:colOff>
      <xdr:row>51</xdr:row>
      <xdr:rowOff>249252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1BB899D2-9EB5-4EAA-955E-70EAC889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860" y="13267765"/>
          <a:ext cx="355770" cy="450733"/>
        </a:xfrm>
        <a:prstGeom prst="rect">
          <a:avLst/>
        </a:prstGeom>
      </xdr:spPr>
    </xdr:pic>
    <xdr:clientData/>
  </xdr:twoCellAnchor>
  <xdr:twoCellAnchor editAs="oneCell">
    <xdr:from>
      <xdr:col>2</xdr:col>
      <xdr:colOff>477708</xdr:colOff>
      <xdr:row>50</xdr:row>
      <xdr:rowOff>74632</xdr:rowOff>
    </xdr:from>
    <xdr:to>
      <xdr:col>2</xdr:col>
      <xdr:colOff>859268</xdr:colOff>
      <xdr:row>51</xdr:row>
      <xdr:rowOff>284685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94F94F11-635F-49FB-A5C7-2B06EDE6E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443" y="13252750"/>
          <a:ext cx="373940" cy="520231"/>
        </a:xfrm>
        <a:prstGeom prst="rect">
          <a:avLst/>
        </a:prstGeom>
      </xdr:spPr>
    </xdr:pic>
    <xdr:clientData/>
  </xdr:twoCellAnchor>
  <xdr:twoCellAnchor editAs="oneCell">
    <xdr:from>
      <xdr:col>2</xdr:col>
      <xdr:colOff>117661</xdr:colOff>
      <xdr:row>50</xdr:row>
      <xdr:rowOff>67575</xdr:rowOff>
    </xdr:from>
    <xdr:to>
      <xdr:col>2</xdr:col>
      <xdr:colOff>437030</xdr:colOff>
      <xdr:row>51</xdr:row>
      <xdr:rowOff>208801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415BCF7F-2C98-4C01-8241-0577414EE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9396" y="13245693"/>
          <a:ext cx="319369" cy="459024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419099</xdr:colOff>
      <xdr:row>50</xdr:row>
      <xdr:rowOff>78441</xdr:rowOff>
    </xdr:from>
    <xdr:to>
      <xdr:col>1</xdr:col>
      <xdr:colOff>780377</xdr:colOff>
      <xdr:row>51</xdr:row>
      <xdr:rowOff>250597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6E137084-C586-4A87-8E4A-B08C5C621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17" y="13256559"/>
          <a:ext cx="376518" cy="467094"/>
        </a:xfrm>
        <a:prstGeom prst="rect">
          <a:avLst/>
        </a:prstGeom>
      </xdr:spPr>
    </xdr:pic>
    <xdr:clientData/>
  </xdr:twoCellAnchor>
  <xdr:twoCellAnchor editAs="oneCell">
    <xdr:from>
      <xdr:col>5</xdr:col>
      <xdr:colOff>489251</xdr:colOff>
      <xdr:row>58</xdr:row>
      <xdr:rowOff>26894</xdr:rowOff>
    </xdr:from>
    <xdr:to>
      <xdr:col>6</xdr:col>
      <xdr:colOff>476811</xdr:colOff>
      <xdr:row>59</xdr:row>
      <xdr:rowOff>2689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838B24A-0E9E-4EC3-99CE-2D2BA2713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8431" y="15564074"/>
          <a:ext cx="812426" cy="720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107675</xdr:colOff>
      <xdr:row>0</xdr:row>
      <xdr:rowOff>82827</xdr:rowOff>
    </xdr:from>
    <xdr:ext cx="538236" cy="431809"/>
    <xdr:pic>
      <xdr:nvPicPr>
        <xdr:cNvPr id="2" name="Рисунок 1">
          <a:extLst>
            <a:ext uri="{FF2B5EF4-FFF2-40B4-BE49-F238E27FC236}">
              <a16:creationId xmlns:a16="http://schemas.microsoft.com/office/drawing/2014/main" id="{EF285138-1DC0-4824-9A04-52718189A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75" y="82827"/>
          <a:ext cx="538236" cy="431809"/>
        </a:xfrm>
        <a:prstGeom prst="rect">
          <a:avLst/>
        </a:prstGeom>
      </xdr:spPr>
    </xdr:pic>
    <xdr:clientData/>
  </xdr:oneCellAnchor>
  <xdr:twoCellAnchor editAs="oneCell">
    <xdr:from>
      <xdr:col>1</xdr:col>
      <xdr:colOff>304792</xdr:colOff>
      <xdr:row>6</xdr:row>
      <xdr:rowOff>40032</xdr:rowOff>
    </xdr:from>
    <xdr:to>
      <xdr:col>2</xdr:col>
      <xdr:colOff>55618</xdr:colOff>
      <xdr:row>6</xdr:row>
      <xdr:rowOff>688032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0AE4ADB-FB37-45EC-81E3-C631E626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92" y="1178550"/>
          <a:ext cx="86301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335338</xdr:colOff>
      <xdr:row>6</xdr:row>
      <xdr:rowOff>40032</xdr:rowOff>
    </xdr:from>
    <xdr:to>
      <xdr:col>3</xdr:col>
      <xdr:colOff>248534</xdr:colOff>
      <xdr:row>6</xdr:row>
      <xdr:rowOff>688032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4FB1B03-7EA6-4E67-BF2F-94D50344D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597" y="1178550"/>
          <a:ext cx="777618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306929</xdr:colOff>
      <xdr:row>11</xdr:row>
      <xdr:rowOff>54683</xdr:rowOff>
    </xdr:from>
    <xdr:to>
      <xdr:col>1</xdr:col>
      <xdr:colOff>1050439</xdr:colOff>
      <xdr:row>11</xdr:row>
      <xdr:rowOff>1025281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172B79E-1CE4-4AF3-89DC-48D36BC02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529" y="4862903"/>
          <a:ext cx="751130" cy="970598"/>
        </a:xfrm>
        <a:prstGeom prst="rect">
          <a:avLst/>
        </a:prstGeom>
      </xdr:spPr>
    </xdr:pic>
    <xdr:clientData/>
  </xdr:twoCellAnchor>
  <xdr:twoCellAnchor editAs="oneCell">
    <xdr:from>
      <xdr:col>2</xdr:col>
      <xdr:colOff>374454</xdr:colOff>
      <xdr:row>11</xdr:row>
      <xdr:rowOff>29994</xdr:rowOff>
    </xdr:from>
    <xdr:to>
      <xdr:col>3</xdr:col>
      <xdr:colOff>134918</xdr:colOff>
      <xdr:row>11</xdr:row>
      <xdr:rowOff>1053809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46038888-66D8-435D-AF4A-56A02F8ED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954" y="4838214"/>
          <a:ext cx="625334" cy="102953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7</xdr:row>
      <xdr:rowOff>91440</xdr:rowOff>
    </xdr:from>
    <xdr:to>
      <xdr:col>1</xdr:col>
      <xdr:colOff>1040412</xdr:colOff>
      <xdr:row>7</xdr:row>
      <xdr:rowOff>628873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148D7B03-9568-44E9-8B9D-552349730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973580"/>
          <a:ext cx="806097" cy="541243"/>
        </a:xfrm>
        <a:prstGeom prst="rect">
          <a:avLst/>
        </a:prstGeom>
      </xdr:spPr>
    </xdr:pic>
    <xdr:clientData/>
  </xdr:twoCellAnchor>
  <xdr:twoCellAnchor editAs="oneCell">
    <xdr:from>
      <xdr:col>2</xdr:col>
      <xdr:colOff>206030</xdr:colOff>
      <xdr:row>7</xdr:row>
      <xdr:rowOff>92784</xdr:rowOff>
    </xdr:from>
    <xdr:to>
      <xdr:col>3</xdr:col>
      <xdr:colOff>114300</xdr:colOff>
      <xdr:row>7</xdr:row>
      <xdr:rowOff>672465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C5AF265-0036-4441-A514-2BC70A74E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530" y="1974924"/>
          <a:ext cx="769330" cy="585396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</xdr:colOff>
      <xdr:row>8</xdr:row>
      <xdr:rowOff>48970</xdr:rowOff>
    </xdr:from>
    <xdr:to>
      <xdr:col>1</xdr:col>
      <xdr:colOff>971550</xdr:colOff>
      <xdr:row>8</xdr:row>
      <xdr:rowOff>704739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6A61AAA-4301-486D-B21B-2C2B2E94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" y="2662630"/>
          <a:ext cx="655320" cy="659579"/>
        </a:xfrm>
        <a:prstGeom prst="rect">
          <a:avLst/>
        </a:prstGeom>
      </xdr:spPr>
    </xdr:pic>
    <xdr:clientData/>
  </xdr:twoCellAnchor>
  <xdr:twoCellAnchor editAs="oneCell">
    <xdr:from>
      <xdr:col>2</xdr:col>
      <xdr:colOff>230906</xdr:colOff>
      <xdr:row>8</xdr:row>
      <xdr:rowOff>38100</xdr:rowOff>
    </xdr:from>
    <xdr:to>
      <xdr:col>3</xdr:col>
      <xdr:colOff>38100</xdr:colOff>
      <xdr:row>8</xdr:row>
      <xdr:rowOff>704850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8571EF3-EE0F-4C12-AB7C-682331A25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406" y="2651760"/>
          <a:ext cx="668254" cy="67056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9</xdr:row>
      <xdr:rowOff>22860</xdr:rowOff>
    </xdr:from>
    <xdr:to>
      <xdr:col>1</xdr:col>
      <xdr:colOff>815452</xdr:colOff>
      <xdr:row>9</xdr:row>
      <xdr:rowOff>706477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51CA9F6F-4053-4A17-B468-82CC6959A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3368040"/>
          <a:ext cx="400162" cy="687427"/>
        </a:xfrm>
        <a:prstGeom prst="rect">
          <a:avLst/>
        </a:prstGeom>
      </xdr:spPr>
    </xdr:pic>
    <xdr:clientData/>
  </xdr:twoCellAnchor>
  <xdr:twoCellAnchor editAs="oneCell">
    <xdr:from>
      <xdr:col>2</xdr:col>
      <xdr:colOff>304978</xdr:colOff>
      <xdr:row>9</xdr:row>
      <xdr:rowOff>31659</xdr:rowOff>
    </xdr:from>
    <xdr:to>
      <xdr:col>2</xdr:col>
      <xdr:colOff>819150</xdr:colOff>
      <xdr:row>10</xdr:row>
      <xdr:rowOff>8304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A32DE35-B784-47D9-B78C-52C6006C4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478" y="3376839"/>
          <a:ext cx="517982" cy="699312"/>
        </a:xfrm>
        <a:prstGeom prst="rect">
          <a:avLst/>
        </a:prstGeom>
      </xdr:spPr>
    </xdr:pic>
    <xdr:clientData/>
  </xdr:twoCellAnchor>
  <xdr:twoCellAnchor editAs="oneCell">
    <xdr:from>
      <xdr:col>1</xdr:col>
      <xdr:colOff>487680</xdr:colOff>
      <xdr:row>10</xdr:row>
      <xdr:rowOff>30480</xdr:rowOff>
    </xdr:from>
    <xdr:to>
      <xdr:col>1</xdr:col>
      <xdr:colOff>821840</xdr:colOff>
      <xdr:row>10</xdr:row>
      <xdr:rowOff>704518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7218F12A-4A32-4435-88B2-BD33F47BB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" y="4107180"/>
          <a:ext cx="341780" cy="683563"/>
        </a:xfrm>
        <a:prstGeom prst="rect">
          <a:avLst/>
        </a:prstGeom>
      </xdr:spPr>
    </xdr:pic>
    <xdr:clientData/>
  </xdr:twoCellAnchor>
  <xdr:twoCellAnchor editAs="oneCell">
    <xdr:from>
      <xdr:col>2</xdr:col>
      <xdr:colOff>347223</xdr:colOff>
      <xdr:row>10</xdr:row>
      <xdr:rowOff>70154</xdr:rowOff>
    </xdr:from>
    <xdr:to>
      <xdr:col>2</xdr:col>
      <xdr:colOff>722891</xdr:colOff>
      <xdr:row>10</xdr:row>
      <xdr:rowOff>702903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3583960B-FE21-49D6-B3C5-BC71D4324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723" y="4146854"/>
          <a:ext cx="375668" cy="6289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107675</xdr:colOff>
      <xdr:row>0</xdr:row>
      <xdr:rowOff>82827</xdr:rowOff>
    </xdr:from>
    <xdr:ext cx="530616" cy="431809"/>
    <xdr:pic>
      <xdr:nvPicPr>
        <xdr:cNvPr id="2" name="Рисунок 1">
          <a:extLst>
            <a:ext uri="{FF2B5EF4-FFF2-40B4-BE49-F238E27FC236}">
              <a16:creationId xmlns:a16="http://schemas.microsoft.com/office/drawing/2014/main" id="{2B2DD6D1-2D45-4C2A-9B41-2E7A34EC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75" y="82827"/>
          <a:ext cx="530616" cy="431809"/>
        </a:xfrm>
        <a:prstGeom prst="rect">
          <a:avLst/>
        </a:prstGeom>
      </xdr:spPr>
    </xdr:pic>
    <xdr:clientData/>
  </xdr:oneCellAnchor>
  <xdr:twoCellAnchor editAs="oneCell">
    <xdr:from>
      <xdr:col>1</xdr:col>
      <xdr:colOff>595594</xdr:colOff>
      <xdr:row>7</xdr:row>
      <xdr:rowOff>22412</xdr:rowOff>
    </xdr:from>
    <xdr:to>
      <xdr:col>1</xdr:col>
      <xdr:colOff>1049385</xdr:colOff>
      <xdr:row>9</xdr:row>
      <xdr:rowOff>98986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37BF2EE-9A50-4F2C-9E4C-BA41C7B15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094" y="1434353"/>
          <a:ext cx="446171" cy="742748"/>
        </a:xfrm>
        <a:prstGeom prst="rect">
          <a:avLst/>
        </a:prstGeom>
      </xdr:spPr>
    </xdr:pic>
    <xdr:clientData/>
  </xdr:twoCellAnchor>
  <xdr:twoCellAnchor editAs="oneCell">
    <xdr:from>
      <xdr:col>2</xdr:col>
      <xdr:colOff>711528</xdr:colOff>
      <xdr:row>7</xdr:row>
      <xdr:rowOff>76537</xdr:rowOff>
    </xdr:from>
    <xdr:to>
      <xdr:col>3</xdr:col>
      <xdr:colOff>136407</xdr:colOff>
      <xdr:row>9</xdr:row>
      <xdr:rowOff>94102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771659E-3010-47E3-B76F-5E998FE77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616" y="1488478"/>
          <a:ext cx="383094" cy="676119"/>
        </a:xfrm>
        <a:prstGeom prst="rect">
          <a:avLst/>
        </a:prstGeom>
      </xdr:spPr>
    </xdr:pic>
    <xdr:clientData/>
  </xdr:twoCellAnchor>
  <xdr:twoCellAnchor editAs="oneCell">
    <xdr:from>
      <xdr:col>1</xdr:col>
      <xdr:colOff>388060</xdr:colOff>
      <xdr:row>15</xdr:row>
      <xdr:rowOff>132566</xdr:rowOff>
    </xdr:from>
    <xdr:to>
      <xdr:col>2</xdr:col>
      <xdr:colOff>213046</xdr:colOff>
      <xdr:row>16</xdr:row>
      <xdr:rowOff>246307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42C1997-98D6-4C28-A7FC-EC3440713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53"/>
        <a:stretch/>
      </xdr:blipFill>
      <xdr:spPr>
        <a:xfrm>
          <a:off x="959560" y="4144272"/>
          <a:ext cx="945574" cy="472552"/>
        </a:xfrm>
        <a:prstGeom prst="rect">
          <a:avLst/>
        </a:prstGeom>
      </xdr:spPr>
    </xdr:pic>
    <xdr:clientData/>
  </xdr:twoCellAnchor>
  <xdr:twoCellAnchor editAs="oneCell">
    <xdr:from>
      <xdr:col>2</xdr:col>
      <xdr:colOff>280661</xdr:colOff>
      <xdr:row>15</xdr:row>
      <xdr:rowOff>121360</xdr:rowOff>
    </xdr:from>
    <xdr:to>
      <xdr:col>3</xdr:col>
      <xdr:colOff>475114</xdr:colOff>
      <xdr:row>16</xdr:row>
      <xdr:rowOff>246531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247FE54-AE78-45E3-AA19-7112340B9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749" y="4133066"/>
          <a:ext cx="1162193" cy="472552"/>
        </a:xfrm>
        <a:prstGeom prst="rect">
          <a:avLst/>
        </a:prstGeom>
      </xdr:spPr>
    </xdr:pic>
    <xdr:clientData/>
  </xdr:twoCellAnchor>
  <xdr:twoCellAnchor editAs="oneCell">
    <xdr:from>
      <xdr:col>1</xdr:col>
      <xdr:colOff>430867</xdr:colOff>
      <xdr:row>17</xdr:row>
      <xdr:rowOff>278242</xdr:rowOff>
    </xdr:from>
    <xdr:to>
      <xdr:col>2</xdr:col>
      <xdr:colOff>55806</xdr:colOff>
      <xdr:row>18</xdr:row>
      <xdr:rowOff>346251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DABE6D1-61C3-43A7-9F52-05B9D1A64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367" y="7158654"/>
          <a:ext cx="753147" cy="527449"/>
        </a:xfrm>
        <a:prstGeom prst="rect">
          <a:avLst/>
        </a:prstGeom>
      </xdr:spPr>
    </xdr:pic>
    <xdr:clientData/>
  </xdr:twoCellAnchor>
  <xdr:twoCellAnchor editAs="oneCell">
    <xdr:from>
      <xdr:col>2</xdr:col>
      <xdr:colOff>392960</xdr:colOff>
      <xdr:row>17</xdr:row>
      <xdr:rowOff>278242</xdr:rowOff>
    </xdr:from>
    <xdr:to>
      <xdr:col>3</xdr:col>
      <xdr:colOff>246303</xdr:colOff>
      <xdr:row>18</xdr:row>
      <xdr:rowOff>401315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855CB56-CD25-4B37-BE7B-BE092E6E6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48" y="7158654"/>
          <a:ext cx="813463" cy="595848"/>
        </a:xfrm>
        <a:prstGeom prst="rect">
          <a:avLst/>
        </a:prstGeom>
      </xdr:spPr>
    </xdr:pic>
    <xdr:clientData/>
  </xdr:twoCellAnchor>
  <xdr:twoCellAnchor editAs="oneCell">
    <xdr:from>
      <xdr:col>2</xdr:col>
      <xdr:colOff>744572</xdr:colOff>
      <xdr:row>13</xdr:row>
      <xdr:rowOff>81089</xdr:rowOff>
    </xdr:from>
    <xdr:to>
      <xdr:col>3</xdr:col>
      <xdr:colOff>132388</xdr:colOff>
      <xdr:row>13</xdr:row>
      <xdr:rowOff>745144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972A26E-C0A7-487C-BA51-B0E526BF23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9" t="4771" r="54802" b="5336"/>
        <a:stretch/>
      </xdr:blipFill>
      <xdr:spPr>
        <a:xfrm>
          <a:off x="2436660" y="3218736"/>
          <a:ext cx="340316" cy="673580"/>
        </a:xfrm>
        <a:prstGeom prst="rect">
          <a:avLst/>
        </a:prstGeom>
      </xdr:spPr>
    </xdr:pic>
    <xdr:clientData/>
  </xdr:twoCellAnchor>
  <xdr:twoCellAnchor editAs="oneCell">
    <xdr:from>
      <xdr:col>2</xdr:col>
      <xdr:colOff>723811</xdr:colOff>
      <xdr:row>12</xdr:row>
      <xdr:rowOff>112060</xdr:rowOff>
    </xdr:from>
    <xdr:to>
      <xdr:col>3</xdr:col>
      <xdr:colOff>136377</xdr:colOff>
      <xdr:row>12</xdr:row>
      <xdr:rowOff>703907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1D2541FE-BC77-4C42-B0B4-1008666497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61" t="5544" r="55650" b="4620"/>
        <a:stretch/>
      </xdr:blipFill>
      <xdr:spPr>
        <a:xfrm>
          <a:off x="2415899" y="2386854"/>
          <a:ext cx="365066" cy="614787"/>
        </a:xfrm>
        <a:prstGeom prst="rect">
          <a:avLst/>
        </a:prstGeom>
      </xdr:spPr>
    </xdr:pic>
    <xdr:clientData/>
  </xdr:twoCellAnchor>
  <xdr:twoCellAnchor editAs="oneCell">
    <xdr:from>
      <xdr:col>1</xdr:col>
      <xdr:colOff>584327</xdr:colOff>
      <xdr:row>13</xdr:row>
      <xdr:rowOff>67666</xdr:rowOff>
    </xdr:from>
    <xdr:to>
      <xdr:col>1</xdr:col>
      <xdr:colOff>1050221</xdr:colOff>
      <xdr:row>13</xdr:row>
      <xdr:rowOff>761089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C51F242-4179-43C8-BEF5-55CF5B57C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04" t="2443" r="25188" b="2443"/>
        <a:stretch/>
      </xdr:blipFill>
      <xdr:spPr>
        <a:xfrm>
          <a:off x="1142220" y="5007059"/>
          <a:ext cx="475419" cy="693423"/>
        </a:xfrm>
        <a:prstGeom prst="rect">
          <a:avLst/>
        </a:prstGeom>
      </xdr:spPr>
    </xdr:pic>
    <xdr:clientData/>
  </xdr:twoCellAnchor>
  <xdr:twoCellAnchor editAs="oneCell">
    <xdr:from>
      <xdr:col>1</xdr:col>
      <xdr:colOff>605342</xdr:colOff>
      <xdr:row>12</xdr:row>
      <xdr:rowOff>67235</xdr:rowOff>
    </xdr:from>
    <xdr:to>
      <xdr:col>2</xdr:col>
      <xdr:colOff>224</xdr:colOff>
      <xdr:row>12</xdr:row>
      <xdr:rowOff>665981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93A72B8-1515-4F4F-8D57-F70AF3638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9" r="23929"/>
        <a:stretch/>
      </xdr:blipFill>
      <xdr:spPr>
        <a:xfrm>
          <a:off x="1176842" y="2342029"/>
          <a:ext cx="472328" cy="593111"/>
        </a:xfrm>
        <a:prstGeom prst="rect">
          <a:avLst/>
        </a:prstGeom>
      </xdr:spPr>
    </xdr:pic>
    <xdr:clientData/>
  </xdr:twoCellAnchor>
  <xdr:twoCellAnchor editAs="oneCell">
    <xdr:from>
      <xdr:col>2</xdr:col>
      <xdr:colOff>627882</xdr:colOff>
      <xdr:row>10</xdr:row>
      <xdr:rowOff>39109</xdr:rowOff>
    </xdr:from>
    <xdr:to>
      <xdr:col>3</xdr:col>
      <xdr:colOff>134808</xdr:colOff>
      <xdr:row>11</xdr:row>
      <xdr:rowOff>342599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7B14AD8-5E39-42D1-A579-D26DA7A5A7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08" r="28079"/>
        <a:stretch/>
      </xdr:blipFill>
      <xdr:spPr>
        <a:xfrm>
          <a:off x="2319970" y="2425962"/>
          <a:ext cx="449901" cy="721918"/>
        </a:xfrm>
        <a:prstGeom prst="rect">
          <a:avLst/>
        </a:prstGeom>
      </xdr:spPr>
    </xdr:pic>
    <xdr:clientData/>
  </xdr:twoCellAnchor>
  <xdr:twoCellAnchor editAs="oneCell">
    <xdr:from>
      <xdr:col>1</xdr:col>
      <xdr:colOff>616323</xdr:colOff>
      <xdr:row>10</xdr:row>
      <xdr:rowOff>40125</xdr:rowOff>
    </xdr:from>
    <xdr:to>
      <xdr:col>1</xdr:col>
      <xdr:colOff>1040241</xdr:colOff>
      <xdr:row>11</xdr:row>
      <xdr:rowOff>326244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7BCE240-A3B3-4315-A14E-D383E663F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33" r="27806"/>
        <a:stretch/>
      </xdr:blipFill>
      <xdr:spPr>
        <a:xfrm>
          <a:off x="1187823" y="2426978"/>
          <a:ext cx="418203" cy="704547"/>
        </a:xfrm>
        <a:prstGeom prst="rect">
          <a:avLst/>
        </a:prstGeom>
      </xdr:spPr>
    </xdr:pic>
    <xdr:clientData/>
  </xdr:twoCellAnchor>
  <xdr:twoCellAnchor editAs="oneCell">
    <xdr:from>
      <xdr:col>1</xdr:col>
      <xdr:colOff>759087</xdr:colOff>
      <xdr:row>22</xdr:row>
      <xdr:rowOff>59166</xdr:rowOff>
    </xdr:from>
    <xdr:to>
      <xdr:col>2</xdr:col>
      <xdr:colOff>94353</xdr:colOff>
      <xdr:row>23</xdr:row>
      <xdr:rowOff>740599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C6461C1-1CC2-45C8-ADDF-A9416BBF9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81" r="32831"/>
        <a:stretch/>
      </xdr:blipFill>
      <xdr:spPr>
        <a:xfrm>
          <a:off x="1330587" y="8642872"/>
          <a:ext cx="465379" cy="909361"/>
        </a:xfrm>
        <a:prstGeom prst="rect">
          <a:avLst/>
        </a:prstGeom>
      </xdr:spPr>
    </xdr:pic>
    <xdr:clientData/>
  </xdr:twoCellAnchor>
  <xdr:twoCellAnchor editAs="oneCell">
    <xdr:from>
      <xdr:col>3</xdr:col>
      <xdr:colOff>531831</xdr:colOff>
      <xdr:row>22</xdr:row>
      <xdr:rowOff>56028</xdr:rowOff>
    </xdr:from>
    <xdr:to>
      <xdr:col>4</xdr:col>
      <xdr:colOff>307712</xdr:colOff>
      <xdr:row>23</xdr:row>
      <xdr:rowOff>746267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BED1414-DDE6-4016-91D5-949851D7F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8" r="33458"/>
        <a:stretch/>
      </xdr:blipFill>
      <xdr:spPr>
        <a:xfrm>
          <a:off x="3176419" y="8639734"/>
          <a:ext cx="470646" cy="910547"/>
        </a:xfrm>
        <a:prstGeom prst="rect">
          <a:avLst/>
        </a:prstGeom>
      </xdr:spPr>
    </xdr:pic>
    <xdr:clientData/>
  </xdr:twoCellAnchor>
  <xdr:twoCellAnchor editAs="oneCell">
    <xdr:from>
      <xdr:col>5</xdr:col>
      <xdr:colOff>564775</xdr:colOff>
      <xdr:row>22</xdr:row>
      <xdr:rowOff>71718</xdr:rowOff>
    </xdr:from>
    <xdr:to>
      <xdr:col>6</xdr:col>
      <xdr:colOff>284965</xdr:colOff>
      <xdr:row>23</xdr:row>
      <xdr:rowOff>707652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46F53C1-CF73-45A9-80C6-49D42A77B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6263" t="7480" r="9262" b="5093"/>
        <a:stretch/>
      </xdr:blipFill>
      <xdr:spPr>
        <a:xfrm>
          <a:off x="4656715" y="8872818"/>
          <a:ext cx="506955" cy="8740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320588</xdr:colOff>
      <xdr:row>0</xdr:row>
      <xdr:rowOff>112058</xdr:rowOff>
    </xdr:from>
    <xdr:ext cx="530616" cy="431809"/>
    <xdr:pic>
      <xdr:nvPicPr>
        <xdr:cNvPr id="2" name="Рисунок 1">
          <a:extLst>
            <a:ext uri="{FF2B5EF4-FFF2-40B4-BE49-F238E27FC236}">
              <a16:creationId xmlns:a16="http://schemas.microsoft.com/office/drawing/2014/main" id="{64F43646-BDDF-43D0-896B-732D27061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063" y="112058"/>
          <a:ext cx="530616" cy="431809"/>
        </a:xfrm>
        <a:prstGeom prst="rect">
          <a:avLst/>
        </a:prstGeom>
      </xdr:spPr>
    </xdr:pic>
    <xdr:clientData/>
  </xdr:oneCellAnchor>
  <xdr:twoCellAnchor editAs="oneCell">
    <xdr:from>
      <xdr:col>2</xdr:col>
      <xdr:colOff>180372</xdr:colOff>
      <xdr:row>14</xdr:row>
      <xdr:rowOff>142503</xdr:rowOff>
    </xdr:from>
    <xdr:to>
      <xdr:col>2</xdr:col>
      <xdr:colOff>1044372</xdr:colOff>
      <xdr:row>16</xdr:row>
      <xdr:rowOff>60541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FACB018-BEE8-4B67-A631-B6ED488096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4" t="3125" r="10167" b="3125"/>
        <a:stretch/>
      </xdr:blipFill>
      <xdr:spPr>
        <a:xfrm>
          <a:off x="1494822" y="7543428"/>
          <a:ext cx="864000" cy="537163"/>
        </a:xfrm>
        <a:prstGeom prst="rect">
          <a:avLst/>
        </a:prstGeom>
      </xdr:spPr>
    </xdr:pic>
    <xdr:clientData/>
  </xdr:twoCellAnchor>
  <xdr:twoCellAnchor editAs="oneCell">
    <xdr:from>
      <xdr:col>3</xdr:col>
      <xdr:colOff>182113</xdr:colOff>
      <xdr:row>14</xdr:row>
      <xdr:rowOff>179514</xdr:rowOff>
    </xdr:from>
    <xdr:to>
      <xdr:col>3</xdr:col>
      <xdr:colOff>1127113</xdr:colOff>
      <xdr:row>16</xdr:row>
      <xdr:rowOff>97552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E3F46FE-00BB-4717-B027-EA9807DE5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97" t="-1160" r="7997" b="-1160"/>
        <a:stretch/>
      </xdr:blipFill>
      <xdr:spPr>
        <a:xfrm>
          <a:off x="2677663" y="7580439"/>
          <a:ext cx="945000" cy="537163"/>
        </a:xfrm>
        <a:prstGeom prst="rect">
          <a:avLst/>
        </a:prstGeom>
      </xdr:spPr>
    </xdr:pic>
    <xdr:clientData/>
  </xdr:twoCellAnchor>
  <xdr:twoCellAnchor editAs="oneCell">
    <xdr:from>
      <xdr:col>3</xdr:col>
      <xdr:colOff>213872</xdr:colOff>
      <xdr:row>17</xdr:row>
      <xdr:rowOff>147163</xdr:rowOff>
    </xdr:from>
    <xdr:to>
      <xdr:col>3</xdr:col>
      <xdr:colOff>1013216</xdr:colOff>
      <xdr:row>18</xdr:row>
      <xdr:rowOff>247423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2FAD966-0E26-4C45-9FF3-4713E9881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422" y="8462488"/>
          <a:ext cx="799344" cy="570796"/>
        </a:xfrm>
        <a:prstGeom prst="rect">
          <a:avLst/>
        </a:prstGeom>
      </xdr:spPr>
    </xdr:pic>
    <xdr:clientData/>
  </xdr:twoCellAnchor>
  <xdr:twoCellAnchor editAs="oneCell">
    <xdr:from>
      <xdr:col>2</xdr:col>
      <xdr:colOff>475625</xdr:colOff>
      <xdr:row>4</xdr:row>
      <xdr:rowOff>68183</xdr:rowOff>
    </xdr:from>
    <xdr:to>
      <xdr:col>2</xdr:col>
      <xdr:colOff>667055</xdr:colOff>
      <xdr:row>5</xdr:row>
      <xdr:rowOff>441587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F0B8D0C-DE50-4DAA-B20A-19744C18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90075" y="1296908"/>
          <a:ext cx="180000" cy="897279"/>
        </a:xfrm>
        <a:prstGeom prst="rect">
          <a:avLst/>
        </a:prstGeom>
      </xdr:spPr>
    </xdr:pic>
    <xdr:clientData/>
  </xdr:twoCellAnchor>
  <xdr:twoCellAnchor editAs="oneCell">
    <xdr:from>
      <xdr:col>3</xdr:col>
      <xdr:colOff>439118</xdr:colOff>
      <xdr:row>4</xdr:row>
      <xdr:rowOff>67596</xdr:rowOff>
    </xdr:from>
    <xdr:to>
      <xdr:col>3</xdr:col>
      <xdr:colOff>630548</xdr:colOff>
      <xdr:row>5</xdr:row>
      <xdr:rowOff>441000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6111C48-9CAB-4B0D-922E-CA1841751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934668" y="1296321"/>
          <a:ext cx="180000" cy="897279"/>
        </a:xfrm>
        <a:prstGeom prst="rect">
          <a:avLst/>
        </a:prstGeom>
      </xdr:spPr>
    </xdr:pic>
    <xdr:clientData/>
  </xdr:twoCellAnchor>
  <xdr:twoCellAnchor editAs="oneCell">
    <xdr:from>
      <xdr:col>2</xdr:col>
      <xdr:colOff>439686</xdr:colOff>
      <xdr:row>6</xdr:row>
      <xdr:rowOff>71012</xdr:rowOff>
    </xdr:from>
    <xdr:to>
      <xdr:col>2</xdr:col>
      <xdr:colOff>702425</xdr:colOff>
      <xdr:row>8</xdr:row>
      <xdr:rowOff>287829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B85962C-2540-4FAD-B81B-48DD1ABDB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136" y="2328437"/>
          <a:ext cx="262739" cy="894997"/>
        </a:xfrm>
        <a:prstGeom prst="rect">
          <a:avLst/>
        </a:prstGeom>
      </xdr:spPr>
    </xdr:pic>
    <xdr:clientData/>
  </xdr:twoCellAnchor>
  <xdr:twoCellAnchor editAs="oneCell">
    <xdr:from>
      <xdr:col>3</xdr:col>
      <xdr:colOff>398454</xdr:colOff>
      <xdr:row>6</xdr:row>
      <xdr:rowOff>74508</xdr:rowOff>
    </xdr:from>
    <xdr:to>
      <xdr:col>3</xdr:col>
      <xdr:colOff>666840</xdr:colOff>
      <xdr:row>8</xdr:row>
      <xdr:rowOff>283705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298DECE-702A-44A2-9D54-DFA6A0D6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4004" y="2331933"/>
          <a:ext cx="268386" cy="894997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296334</xdr:colOff>
      <xdr:row>9</xdr:row>
      <xdr:rowOff>69678</xdr:rowOff>
    </xdr:from>
    <xdr:to>
      <xdr:col>2</xdr:col>
      <xdr:colOff>820949</xdr:colOff>
      <xdr:row>9</xdr:row>
      <xdr:rowOff>969678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D1ED4F4-2369-4793-A3A2-CB1C1F689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784" y="3355803"/>
          <a:ext cx="5093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289982</xdr:colOff>
      <xdr:row>9</xdr:row>
      <xdr:rowOff>68756</xdr:rowOff>
    </xdr:from>
    <xdr:to>
      <xdr:col>3</xdr:col>
      <xdr:colOff>816903</xdr:colOff>
      <xdr:row>9</xdr:row>
      <xdr:rowOff>968756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52E5001-2DAC-4D09-B042-3F4EC4A5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532" y="3354881"/>
          <a:ext cx="52120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258535</xdr:colOff>
      <xdr:row>10</xdr:row>
      <xdr:rowOff>81643</xdr:rowOff>
    </xdr:from>
    <xdr:to>
      <xdr:col>2</xdr:col>
      <xdr:colOff>784540</xdr:colOff>
      <xdr:row>10</xdr:row>
      <xdr:rowOff>970213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88C375C-CDF7-4EF2-94D3-1C889ACA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985" y="4396468"/>
          <a:ext cx="53172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306916</xdr:colOff>
      <xdr:row>10</xdr:row>
      <xdr:rowOff>92227</xdr:rowOff>
    </xdr:from>
    <xdr:to>
      <xdr:col>3</xdr:col>
      <xdr:colOff>818206</xdr:colOff>
      <xdr:row>10</xdr:row>
      <xdr:rowOff>992227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2BA7F30-D329-4DDB-81F3-73181A778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466" y="4407052"/>
          <a:ext cx="522720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217713</xdr:colOff>
      <xdr:row>11</xdr:row>
      <xdr:rowOff>86967</xdr:rowOff>
    </xdr:from>
    <xdr:to>
      <xdr:col>2</xdr:col>
      <xdr:colOff>857645</xdr:colOff>
      <xdr:row>11</xdr:row>
      <xdr:rowOff>986967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3DA70C1-8D67-4757-A408-4658B610C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163" y="5430492"/>
          <a:ext cx="639932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233098</xdr:colOff>
      <xdr:row>11</xdr:row>
      <xdr:rowOff>86967</xdr:rowOff>
    </xdr:from>
    <xdr:to>
      <xdr:col>3</xdr:col>
      <xdr:colOff>856699</xdr:colOff>
      <xdr:row>11</xdr:row>
      <xdr:rowOff>986967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0933B8E-BC87-46A9-99D8-1E38CF38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8648" y="5430492"/>
          <a:ext cx="638841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84008</xdr:colOff>
      <xdr:row>12</xdr:row>
      <xdr:rowOff>57452</xdr:rowOff>
    </xdr:from>
    <xdr:to>
      <xdr:col>2</xdr:col>
      <xdr:colOff>1088242</xdr:colOff>
      <xdr:row>12</xdr:row>
      <xdr:rowOff>972692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803F6A2-9EFD-4A37-878E-CE71002AE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458" y="6429677"/>
          <a:ext cx="1013759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56728</xdr:colOff>
      <xdr:row>12</xdr:row>
      <xdr:rowOff>56666</xdr:rowOff>
    </xdr:from>
    <xdr:to>
      <xdr:col>3</xdr:col>
      <xdr:colOff>1066978</xdr:colOff>
      <xdr:row>12</xdr:row>
      <xdr:rowOff>968096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E5961BBA-9961-4762-AAC4-B803B8392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478" y="6424809"/>
          <a:ext cx="1010250" cy="915240"/>
        </a:xfrm>
        <a:prstGeom prst="rect">
          <a:avLst/>
        </a:prstGeom>
      </xdr:spPr>
    </xdr:pic>
    <xdr:clientData/>
  </xdr:twoCellAnchor>
  <xdr:twoCellAnchor editAs="oneCell">
    <xdr:from>
      <xdr:col>6</xdr:col>
      <xdr:colOff>327735</xdr:colOff>
      <xdr:row>21</xdr:row>
      <xdr:rowOff>95251</xdr:rowOff>
    </xdr:from>
    <xdr:to>
      <xdr:col>6</xdr:col>
      <xdr:colOff>821845</xdr:colOff>
      <xdr:row>21</xdr:row>
      <xdr:rowOff>974143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8B6455C-0664-4F04-81A7-C02DDE4D6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6585" y="9963151"/>
          <a:ext cx="499825" cy="871272"/>
        </a:xfrm>
        <a:prstGeom prst="rect">
          <a:avLst/>
        </a:prstGeom>
      </xdr:spPr>
    </xdr:pic>
    <xdr:clientData/>
  </xdr:twoCellAnchor>
  <xdr:twoCellAnchor editAs="oneCell">
    <xdr:from>
      <xdr:col>7</xdr:col>
      <xdr:colOff>337827</xdr:colOff>
      <xdr:row>21</xdr:row>
      <xdr:rowOff>68875</xdr:rowOff>
    </xdr:from>
    <xdr:to>
      <xdr:col>7</xdr:col>
      <xdr:colOff>897071</xdr:colOff>
      <xdr:row>21</xdr:row>
      <xdr:rowOff>974475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F61B700-F535-4F75-BFFE-67259C1B3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7777" y="9936775"/>
          <a:ext cx="547814" cy="911315"/>
        </a:xfrm>
        <a:prstGeom prst="rect">
          <a:avLst/>
        </a:prstGeom>
      </xdr:spPr>
    </xdr:pic>
    <xdr:clientData/>
  </xdr:twoCellAnchor>
  <xdr:twoCellAnchor editAs="oneCell">
    <xdr:from>
      <xdr:col>2</xdr:col>
      <xdr:colOff>390466</xdr:colOff>
      <xdr:row>21</xdr:row>
      <xdr:rowOff>48512</xdr:rowOff>
    </xdr:from>
    <xdr:to>
      <xdr:col>2</xdr:col>
      <xdr:colOff>803829</xdr:colOff>
      <xdr:row>21</xdr:row>
      <xdr:rowOff>933272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8D339563-6F05-416A-B653-681D3232A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16" y="9916412"/>
          <a:ext cx="4133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377976</xdr:colOff>
      <xdr:row>21</xdr:row>
      <xdr:rowOff>66524</xdr:rowOff>
    </xdr:from>
    <xdr:to>
      <xdr:col>3</xdr:col>
      <xdr:colOff>779846</xdr:colOff>
      <xdr:row>21</xdr:row>
      <xdr:rowOff>974144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BB07C39-3739-44B2-9742-DCFE508DD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3526" y="9934424"/>
          <a:ext cx="41711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400195</xdr:colOff>
      <xdr:row>21</xdr:row>
      <xdr:rowOff>87034</xdr:rowOff>
    </xdr:from>
    <xdr:to>
      <xdr:col>4</xdr:col>
      <xdr:colOff>817815</xdr:colOff>
      <xdr:row>21</xdr:row>
      <xdr:rowOff>987034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4A4926E0-B1B8-43D4-8EE8-33919EDC9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845" y="9954934"/>
          <a:ext cx="417620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364576</xdr:colOff>
      <xdr:row>21</xdr:row>
      <xdr:rowOff>93157</xdr:rowOff>
    </xdr:from>
    <xdr:to>
      <xdr:col>5</xdr:col>
      <xdr:colOff>746538</xdr:colOff>
      <xdr:row>21</xdr:row>
      <xdr:rowOff>975247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3EAD88B-5E98-4AF6-97F4-FC0AB24E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326" y="9961057"/>
          <a:ext cx="391487" cy="891615"/>
        </a:xfrm>
        <a:prstGeom prst="rect">
          <a:avLst/>
        </a:prstGeom>
      </xdr:spPr>
    </xdr:pic>
    <xdr:clientData/>
  </xdr:twoCellAnchor>
  <xdr:twoCellAnchor editAs="oneCell">
    <xdr:from>
      <xdr:col>2</xdr:col>
      <xdr:colOff>228298</xdr:colOff>
      <xdr:row>17</xdr:row>
      <xdr:rowOff>123977</xdr:rowOff>
    </xdr:from>
    <xdr:to>
      <xdr:col>2</xdr:col>
      <xdr:colOff>1011519</xdr:colOff>
      <xdr:row>18</xdr:row>
      <xdr:rowOff>322030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478E5B50-6B19-4C36-82E3-8B6D3C69A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748" y="8439302"/>
          <a:ext cx="767981" cy="6590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41778</xdr:colOff>
      <xdr:row>0</xdr:row>
      <xdr:rowOff>919</xdr:rowOff>
    </xdr:from>
    <xdr:ext cx="736775" cy="593186"/>
    <xdr:pic>
      <xdr:nvPicPr>
        <xdr:cNvPr id="2" name="Рисунок 1">
          <a:extLst>
            <a:ext uri="{FF2B5EF4-FFF2-40B4-BE49-F238E27FC236}">
              <a16:creationId xmlns:a16="http://schemas.microsoft.com/office/drawing/2014/main" id="{2AE715BB-CAD0-489E-A5FF-6223B092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8" y="919"/>
          <a:ext cx="736775" cy="593186"/>
        </a:xfrm>
        <a:prstGeom prst="rect">
          <a:avLst/>
        </a:prstGeom>
      </xdr:spPr>
    </xdr:pic>
    <xdr:clientData/>
  </xdr:oneCellAnchor>
  <xdr:twoCellAnchor editAs="oneCell">
    <xdr:from>
      <xdr:col>1</xdr:col>
      <xdr:colOff>206188</xdr:colOff>
      <xdr:row>6</xdr:row>
      <xdr:rowOff>91552</xdr:rowOff>
    </xdr:from>
    <xdr:to>
      <xdr:col>1</xdr:col>
      <xdr:colOff>758751</xdr:colOff>
      <xdr:row>9</xdr:row>
      <xdr:rowOff>152400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D8FEBB5-BF9B-4397-88F7-61847AE85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70" y="1678305"/>
          <a:ext cx="546848" cy="867671"/>
        </a:xfrm>
        <a:prstGeom prst="rect">
          <a:avLst/>
        </a:prstGeom>
      </xdr:spPr>
    </xdr:pic>
    <xdr:clientData/>
  </xdr:twoCellAnchor>
  <xdr:twoCellAnchor editAs="oneCell">
    <xdr:from>
      <xdr:col>1</xdr:col>
      <xdr:colOff>802518</xdr:colOff>
      <xdr:row>6</xdr:row>
      <xdr:rowOff>105672</xdr:rowOff>
    </xdr:from>
    <xdr:to>
      <xdr:col>2</xdr:col>
      <xdr:colOff>174138</xdr:colOff>
      <xdr:row>9</xdr:row>
      <xdr:rowOff>211903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683A5E3-A10B-49E0-A31A-F35307997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00" y="1692425"/>
          <a:ext cx="542187" cy="907339"/>
        </a:xfrm>
        <a:prstGeom prst="rect">
          <a:avLst/>
        </a:prstGeom>
      </xdr:spPr>
    </xdr:pic>
    <xdr:clientData/>
  </xdr:twoCellAnchor>
  <xdr:twoCellAnchor editAs="oneCell">
    <xdr:from>
      <xdr:col>2</xdr:col>
      <xdr:colOff>165527</xdr:colOff>
      <xdr:row>6</xdr:row>
      <xdr:rowOff>80683</xdr:rowOff>
    </xdr:from>
    <xdr:to>
      <xdr:col>2</xdr:col>
      <xdr:colOff>849742</xdr:colOff>
      <xdr:row>9</xdr:row>
      <xdr:rowOff>186915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D3B107D-6698-43E3-95E1-9F840D908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586" y="1667436"/>
          <a:ext cx="686120" cy="905435"/>
        </a:xfrm>
        <a:prstGeom prst="rect">
          <a:avLst/>
        </a:prstGeom>
      </xdr:spPr>
    </xdr:pic>
    <xdr:clientData/>
  </xdr:twoCellAnchor>
  <xdr:twoCellAnchor editAs="oneCell">
    <xdr:from>
      <xdr:col>1</xdr:col>
      <xdr:colOff>259977</xdr:colOff>
      <xdr:row>11</xdr:row>
      <xdr:rowOff>53789</xdr:rowOff>
    </xdr:from>
    <xdr:to>
      <xdr:col>1</xdr:col>
      <xdr:colOff>849742</xdr:colOff>
      <xdr:row>14</xdr:row>
      <xdr:rowOff>34514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8A1E8215-68A8-4F34-B26E-637C18D14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659" y="3101789"/>
          <a:ext cx="591670" cy="672352"/>
        </a:xfrm>
        <a:prstGeom prst="rect">
          <a:avLst/>
        </a:prstGeom>
      </xdr:spPr>
    </xdr:pic>
    <xdr:clientData/>
  </xdr:twoCellAnchor>
  <xdr:twoCellAnchor editAs="oneCell">
    <xdr:from>
      <xdr:col>1</xdr:col>
      <xdr:colOff>1030446</xdr:colOff>
      <xdr:row>11</xdr:row>
      <xdr:rowOff>67909</xdr:rowOff>
    </xdr:from>
    <xdr:to>
      <xdr:col>2</xdr:col>
      <xdr:colOff>421341</xdr:colOff>
      <xdr:row>14</xdr:row>
      <xdr:rowOff>64098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C61A380-924D-4FF6-A1EF-36A47102F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128" y="3115909"/>
          <a:ext cx="565272" cy="70305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762001</xdr:colOff>
      <xdr:row>16</xdr:row>
      <xdr:rowOff>89647</xdr:rowOff>
    </xdr:from>
    <xdr:to>
      <xdr:col>2</xdr:col>
      <xdr:colOff>268942</xdr:colOff>
      <xdr:row>19</xdr:row>
      <xdr:rowOff>49530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D06FE78-AFE3-47A9-B0E4-40E30E653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683" y="4347882"/>
          <a:ext cx="681318" cy="651510"/>
        </a:xfrm>
        <a:prstGeom prst="rect">
          <a:avLst/>
        </a:prstGeom>
      </xdr:spPr>
    </xdr:pic>
    <xdr:clientData/>
  </xdr:twoCellAnchor>
  <xdr:twoCellAnchor editAs="oneCell">
    <xdr:from>
      <xdr:col>1</xdr:col>
      <xdr:colOff>188259</xdr:colOff>
      <xdr:row>21</xdr:row>
      <xdr:rowOff>143437</xdr:rowOff>
    </xdr:from>
    <xdr:to>
      <xdr:col>1</xdr:col>
      <xdr:colOff>955974</xdr:colOff>
      <xdr:row>24</xdr:row>
      <xdr:rowOff>25102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48FDB82-B9CA-4235-A0C4-12BCBC42D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941" y="5656731"/>
          <a:ext cx="771525" cy="682774"/>
        </a:xfrm>
        <a:prstGeom prst="rect">
          <a:avLst/>
        </a:prstGeom>
      </xdr:spPr>
    </xdr:pic>
    <xdr:clientData/>
  </xdr:twoCellAnchor>
  <xdr:twoCellAnchor editAs="oneCell">
    <xdr:from>
      <xdr:col>2</xdr:col>
      <xdr:colOff>90496</xdr:colOff>
      <xdr:row>21</xdr:row>
      <xdr:rowOff>143436</xdr:rowOff>
    </xdr:from>
    <xdr:to>
      <xdr:col>2</xdr:col>
      <xdr:colOff>762000</xdr:colOff>
      <xdr:row>24</xdr:row>
      <xdr:rowOff>60465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9D90B45-BA62-4C90-9721-406DEFC2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555" y="5656730"/>
          <a:ext cx="671504" cy="720043"/>
        </a:xfrm>
        <a:prstGeom prst="rect">
          <a:avLst/>
        </a:prstGeom>
      </xdr:spPr>
    </xdr:pic>
    <xdr:clientData/>
  </xdr:twoCellAnchor>
  <xdr:twoCellAnchor editAs="oneCell">
    <xdr:from>
      <xdr:col>1</xdr:col>
      <xdr:colOff>376516</xdr:colOff>
      <xdr:row>25</xdr:row>
      <xdr:rowOff>170330</xdr:rowOff>
    </xdr:from>
    <xdr:to>
      <xdr:col>2</xdr:col>
      <xdr:colOff>720986</xdr:colOff>
      <xdr:row>30</xdr:row>
      <xdr:rowOff>64097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D9B86C95-FB93-4CBE-8E1A-C5FD120D5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8" y="6759389"/>
          <a:ext cx="1515037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331695</xdr:colOff>
      <xdr:row>32</xdr:row>
      <xdr:rowOff>72891</xdr:rowOff>
    </xdr:from>
    <xdr:to>
      <xdr:col>2</xdr:col>
      <xdr:colOff>758751</xdr:colOff>
      <xdr:row>35</xdr:row>
      <xdr:rowOff>155610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0DBC82F-150E-4103-9466-5A4FCD6CE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377" y="8293526"/>
          <a:ext cx="1595718" cy="7914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59938</xdr:colOff>
      <xdr:row>0</xdr:row>
      <xdr:rowOff>21512</xdr:rowOff>
    </xdr:from>
    <xdr:ext cx="560629" cy="415517"/>
    <xdr:pic>
      <xdr:nvPicPr>
        <xdr:cNvPr id="2" name="Рисунок 1">
          <a:extLst>
            <a:ext uri="{FF2B5EF4-FFF2-40B4-BE49-F238E27FC236}">
              <a16:creationId xmlns:a16="http://schemas.microsoft.com/office/drawing/2014/main" id="{5FCA9B1B-C3F9-452D-B721-818E80DCB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8" y="25322"/>
          <a:ext cx="560629" cy="415517"/>
        </a:xfrm>
        <a:prstGeom prst="rect">
          <a:avLst/>
        </a:prstGeom>
      </xdr:spPr>
    </xdr:pic>
    <xdr:clientData/>
  </xdr:oneCellAnchor>
  <xdr:twoCellAnchor editAs="oneCell">
    <xdr:from>
      <xdr:col>1</xdr:col>
      <xdr:colOff>207534</xdr:colOff>
      <xdr:row>8</xdr:row>
      <xdr:rowOff>21175</xdr:rowOff>
    </xdr:from>
    <xdr:to>
      <xdr:col>1</xdr:col>
      <xdr:colOff>784156</xdr:colOff>
      <xdr:row>10</xdr:row>
      <xdr:rowOff>148687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D10C9E8-513A-4FFA-BD66-03F8ECF94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14" r="10989"/>
        <a:stretch/>
      </xdr:blipFill>
      <xdr:spPr>
        <a:xfrm>
          <a:off x="813324" y="1297525"/>
          <a:ext cx="584242" cy="565662"/>
        </a:xfrm>
        <a:prstGeom prst="rect">
          <a:avLst/>
        </a:prstGeom>
      </xdr:spPr>
    </xdr:pic>
    <xdr:clientData/>
  </xdr:twoCellAnchor>
  <xdr:twoCellAnchor editAs="oneCell">
    <xdr:from>
      <xdr:col>1</xdr:col>
      <xdr:colOff>170330</xdr:colOff>
      <xdr:row>11</xdr:row>
      <xdr:rowOff>55130</xdr:rowOff>
    </xdr:from>
    <xdr:to>
      <xdr:col>1</xdr:col>
      <xdr:colOff>741830</xdr:colOff>
      <xdr:row>13</xdr:row>
      <xdr:rowOff>175022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B10A615-30E3-473A-BDC4-D6CC6A195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7" r="11131"/>
        <a:stretch/>
      </xdr:blipFill>
      <xdr:spPr>
        <a:xfrm>
          <a:off x="776120" y="1994420"/>
          <a:ext cx="584835" cy="569473"/>
        </a:xfrm>
        <a:prstGeom prst="rect">
          <a:avLst/>
        </a:prstGeom>
      </xdr:spPr>
    </xdr:pic>
    <xdr:clientData/>
  </xdr:twoCellAnchor>
  <xdr:twoCellAnchor editAs="oneCell">
    <xdr:from>
      <xdr:col>1</xdr:col>
      <xdr:colOff>210560</xdr:colOff>
      <xdr:row>17</xdr:row>
      <xdr:rowOff>57597</xdr:rowOff>
    </xdr:from>
    <xdr:to>
      <xdr:col>1</xdr:col>
      <xdr:colOff>898426</xdr:colOff>
      <xdr:row>18</xdr:row>
      <xdr:rowOff>289323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2B8E0C7-243F-478F-B0D9-8544D562D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2"/>
        <a:stretch/>
      </xdr:blipFill>
      <xdr:spPr>
        <a:xfrm>
          <a:off x="816350" y="2659827"/>
          <a:ext cx="695486" cy="544147"/>
        </a:xfrm>
        <a:prstGeom prst="rect">
          <a:avLst/>
        </a:prstGeom>
      </xdr:spPr>
    </xdr:pic>
    <xdr:clientData/>
  </xdr:twoCellAnchor>
  <xdr:twoCellAnchor editAs="oneCell">
    <xdr:from>
      <xdr:col>1</xdr:col>
      <xdr:colOff>169770</xdr:colOff>
      <xdr:row>19</xdr:row>
      <xdr:rowOff>35858</xdr:rowOff>
    </xdr:from>
    <xdr:to>
      <xdr:col>1</xdr:col>
      <xdr:colOff>780066</xdr:colOff>
      <xdr:row>20</xdr:row>
      <xdr:rowOff>301873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62DFF5-0221-4608-A89F-407D020F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560" y="3243878"/>
          <a:ext cx="623631" cy="570815"/>
        </a:xfrm>
        <a:prstGeom prst="rect">
          <a:avLst/>
        </a:prstGeom>
      </xdr:spPr>
    </xdr:pic>
    <xdr:clientData/>
  </xdr:twoCellAnchor>
  <xdr:twoCellAnchor editAs="oneCell">
    <xdr:from>
      <xdr:col>1</xdr:col>
      <xdr:colOff>174139</xdr:colOff>
      <xdr:row>21</xdr:row>
      <xdr:rowOff>19388</xdr:rowOff>
    </xdr:from>
    <xdr:to>
      <xdr:col>1</xdr:col>
      <xdr:colOff>745972</xdr:colOff>
      <xdr:row>22</xdr:row>
      <xdr:rowOff>251114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ABCC358-B8B7-41AC-8B2A-3F109DA86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929" y="3840818"/>
          <a:ext cx="579453" cy="544146"/>
        </a:xfrm>
        <a:prstGeom prst="rect">
          <a:avLst/>
        </a:prstGeom>
      </xdr:spPr>
    </xdr:pic>
    <xdr:clientData/>
  </xdr:twoCellAnchor>
  <xdr:twoCellAnchor editAs="oneCell">
    <xdr:from>
      <xdr:col>1</xdr:col>
      <xdr:colOff>93458</xdr:colOff>
      <xdr:row>33</xdr:row>
      <xdr:rowOff>97455</xdr:rowOff>
    </xdr:from>
    <xdr:to>
      <xdr:col>1</xdr:col>
      <xdr:colOff>898929</xdr:colOff>
      <xdr:row>35</xdr:row>
      <xdr:rowOff>174426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8334691-6076-43AE-BD11-D4DB1D21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248" y="5983905"/>
          <a:ext cx="813091" cy="541792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152397</xdr:colOff>
      <xdr:row>37</xdr:row>
      <xdr:rowOff>55806</xdr:rowOff>
    </xdr:from>
    <xdr:to>
      <xdr:col>4</xdr:col>
      <xdr:colOff>708039</xdr:colOff>
      <xdr:row>37</xdr:row>
      <xdr:rowOff>593901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794FB4D-31C6-4D15-A0A5-BB5864C0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77" y="6849036"/>
          <a:ext cx="567072" cy="545715"/>
        </a:xfrm>
        <a:prstGeom prst="rect">
          <a:avLst/>
        </a:prstGeom>
      </xdr:spPr>
    </xdr:pic>
    <xdr:clientData/>
  </xdr:twoCellAnchor>
  <xdr:twoCellAnchor editAs="oneCell">
    <xdr:from>
      <xdr:col>5</xdr:col>
      <xdr:colOff>289224</xdr:colOff>
      <xdr:row>37</xdr:row>
      <xdr:rowOff>20842</xdr:rowOff>
    </xdr:from>
    <xdr:to>
      <xdr:col>6</xdr:col>
      <xdr:colOff>191139</xdr:colOff>
      <xdr:row>37</xdr:row>
      <xdr:rowOff>551317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C52F8DA-BAD9-4756-AB89-486FDCB04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4034" y="6814072"/>
          <a:ext cx="606765" cy="543810"/>
        </a:xfrm>
        <a:prstGeom prst="rect">
          <a:avLst/>
        </a:prstGeom>
      </xdr:spPr>
    </xdr:pic>
    <xdr:clientData/>
  </xdr:twoCellAnchor>
  <xdr:twoCellAnchor editAs="oneCell">
    <xdr:from>
      <xdr:col>1</xdr:col>
      <xdr:colOff>244176</xdr:colOff>
      <xdr:row>17</xdr:row>
      <xdr:rowOff>53788</xdr:rowOff>
    </xdr:from>
    <xdr:to>
      <xdr:col>1</xdr:col>
      <xdr:colOff>894073</xdr:colOff>
      <xdr:row>18</xdr:row>
      <xdr:rowOff>289324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AC10D5E-0B01-4329-A15D-A574E10BF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2"/>
        <a:stretch/>
      </xdr:blipFill>
      <xdr:spPr>
        <a:xfrm>
          <a:off x="849966" y="2656018"/>
          <a:ext cx="663232" cy="547957"/>
        </a:xfrm>
        <a:prstGeom prst="rect">
          <a:avLst/>
        </a:prstGeom>
      </xdr:spPr>
    </xdr:pic>
    <xdr:clientData/>
  </xdr:twoCellAnchor>
  <xdr:twoCellAnchor editAs="oneCell">
    <xdr:from>
      <xdr:col>1</xdr:col>
      <xdr:colOff>207198</xdr:colOff>
      <xdr:row>19</xdr:row>
      <xdr:rowOff>35858</xdr:rowOff>
    </xdr:from>
    <xdr:to>
      <xdr:col>1</xdr:col>
      <xdr:colOff>822503</xdr:colOff>
      <xdr:row>20</xdr:row>
      <xdr:rowOff>301873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166509C-6C88-49BD-97B4-37A5829A6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988" y="3243878"/>
          <a:ext cx="622925" cy="570815"/>
        </a:xfrm>
        <a:prstGeom prst="rect">
          <a:avLst/>
        </a:prstGeom>
      </xdr:spPr>
    </xdr:pic>
    <xdr:clientData/>
  </xdr:twoCellAnchor>
  <xdr:twoCellAnchor editAs="oneCell">
    <xdr:from>
      <xdr:col>1</xdr:col>
      <xdr:colOff>297403</xdr:colOff>
      <xdr:row>27</xdr:row>
      <xdr:rowOff>110824</xdr:rowOff>
    </xdr:from>
    <xdr:to>
      <xdr:col>1</xdr:col>
      <xdr:colOff>631340</xdr:colOff>
      <xdr:row>29</xdr:row>
      <xdr:rowOff>117886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1433F4A7-AC9F-4BC2-8748-3936DF7AEE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9" r="35400"/>
        <a:stretch/>
      </xdr:blipFill>
      <xdr:spPr>
        <a:xfrm>
          <a:off x="901288" y="4538044"/>
          <a:ext cx="345367" cy="616662"/>
        </a:xfrm>
        <a:prstGeom prst="rect">
          <a:avLst/>
        </a:prstGeom>
      </xdr:spPr>
    </xdr:pic>
    <xdr:clientData/>
  </xdr:twoCellAnchor>
  <xdr:twoCellAnchor editAs="oneCell">
    <xdr:from>
      <xdr:col>1</xdr:col>
      <xdr:colOff>315446</xdr:colOff>
      <xdr:row>30</xdr:row>
      <xdr:rowOff>51882</xdr:rowOff>
    </xdr:from>
    <xdr:to>
      <xdr:col>1</xdr:col>
      <xdr:colOff>628650</xdr:colOff>
      <xdr:row>32</xdr:row>
      <xdr:rowOff>210287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C5E7C8B-09BE-466E-B403-5843B1529B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40" r="35079"/>
        <a:stretch/>
      </xdr:blipFill>
      <xdr:spPr>
        <a:xfrm>
          <a:off x="915521" y="5269677"/>
          <a:ext cx="299869" cy="587029"/>
        </a:xfrm>
        <a:prstGeom prst="rect">
          <a:avLst/>
        </a:prstGeom>
      </xdr:spPr>
    </xdr:pic>
    <xdr:clientData/>
  </xdr:twoCellAnchor>
  <xdr:twoCellAnchor editAs="oneCell">
    <xdr:from>
      <xdr:col>1</xdr:col>
      <xdr:colOff>171898</xdr:colOff>
      <xdr:row>14</xdr:row>
      <xdr:rowOff>78441</xdr:rowOff>
    </xdr:from>
    <xdr:to>
      <xdr:col>1</xdr:col>
      <xdr:colOff>705970</xdr:colOff>
      <xdr:row>16</xdr:row>
      <xdr:rowOff>137048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7DE0FE8-991D-4C3C-B12F-4275E248B3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2" t="4840" r="22441" b="4348"/>
        <a:stretch/>
      </xdr:blipFill>
      <xdr:spPr>
        <a:xfrm>
          <a:off x="788222" y="2599765"/>
          <a:ext cx="534072" cy="490145"/>
        </a:xfrm>
        <a:prstGeom prst="rect">
          <a:avLst/>
        </a:prstGeom>
      </xdr:spPr>
    </xdr:pic>
    <xdr:clientData/>
  </xdr:twoCellAnchor>
  <xdr:twoCellAnchor editAs="oneCell">
    <xdr:from>
      <xdr:col>1</xdr:col>
      <xdr:colOff>142090</xdr:colOff>
      <xdr:row>23</xdr:row>
      <xdr:rowOff>24317</xdr:rowOff>
    </xdr:from>
    <xdr:to>
      <xdr:col>1</xdr:col>
      <xdr:colOff>707603</xdr:colOff>
      <xdr:row>24</xdr:row>
      <xdr:rowOff>283187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AADCA47-A556-4DD9-AE28-A35CB755C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42" t="4626" r="16138" b="4386"/>
        <a:stretch/>
      </xdr:blipFill>
      <xdr:spPr>
        <a:xfrm>
          <a:off x="758414" y="4999729"/>
          <a:ext cx="569323" cy="553809"/>
        </a:xfrm>
        <a:prstGeom prst="rect">
          <a:avLst/>
        </a:prstGeom>
      </xdr:spPr>
    </xdr:pic>
    <xdr:clientData/>
  </xdr:twoCellAnchor>
  <xdr:twoCellAnchor editAs="oneCell">
    <xdr:from>
      <xdr:col>1</xdr:col>
      <xdr:colOff>154976</xdr:colOff>
      <xdr:row>25</xdr:row>
      <xdr:rowOff>13110</xdr:rowOff>
    </xdr:from>
    <xdr:to>
      <xdr:col>1</xdr:col>
      <xdr:colOff>704066</xdr:colOff>
      <xdr:row>26</xdr:row>
      <xdr:rowOff>284516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CB7F878-699E-4855-B1B2-32B3233AD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72" t="3794" r="16675" b="4544"/>
        <a:stretch/>
      </xdr:blipFill>
      <xdr:spPr>
        <a:xfrm>
          <a:off x="771300" y="5593639"/>
          <a:ext cx="558615" cy="577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20609</xdr:colOff>
      <xdr:row>0</xdr:row>
      <xdr:rowOff>70371</xdr:rowOff>
    </xdr:from>
    <xdr:ext cx="477806" cy="391669"/>
    <xdr:pic>
      <xdr:nvPicPr>
        <xdr:cNvPr id="2" name="Рисунок 1">
          <a:extLst>
            <a:ext uri="{FF2B5EF4-FFF2-40B4-BE49-F238E27FC236}">
              <a16:creationId xmlns:a16="http://schemas.microsoft.com/office/drawing/2014/main" id="{986FA780-68F8-4368-9F80-9D1B06C0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9" y="70371"/>
          <a:ext cx="477806" cy="391669"/>
        </a:xfrm>
        <a:prstGeom prst="rect">
          <a:avLst/>
        </a:prstGeom>
      </xdr:spPr>
    </xdr:pic>
    <xdr:clientData/>
  </xdr:oneCellAnchor>
  <xdr:oneCellAnchor>
    <xdr:from>
      <xdr:col>1</xdr:col>
      <xdr:colOff>114450</xdr:colOff>
      <xdr:row>23</xdr:row>
      <xdr:rowOff>32609</xdr:rowOff>
    </xdr:from>
    <xdr:ext cx="483818" cy="587281"/>
    <xdr:pic>
      <xdr:nvPicPr>
        <xdr:cNvPr id="63" name="Рисунок 62">
          <a:extLst>
            <a:ext uri="{FF2B5EF4-FFF2-40B4-BE49-F238E27FC236}">
              <a16:creationId xmlns:a16="http://schemas.microsoft.com/office/drawing/2014/main" id="{8FAFEBB1-896F-4982-B8E0-9624F929170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30" r="22361"/>
        <a:stretch/>
      </xdr:blipFill>
      <xdr:spPr>
        <a:xfrm>
          <a:off x="733015" y="6836821"/>
          <a:ext cx="483818" cy="587281"/>
        </a:xfrm>
        <a:prstGeom prst="rect">
          <a:avLst/>
        </a:prstGeom>
      </xdr:spPr>
    </xdr:pic>
    <xdr:clientData/>
  </xdr:oneCellAnchor>
  <xdr:oneCellAnchor>
    <xdr:from>
      <xdr:col>1</xdr:col>
      <xdr:colOff>754576</xdr:colOff>
      <xdr:row>21</xdr:row>
      <xdr:rowOff>36914</xdr:rowOff>
    </xdr:from>
    <xdr:ext cx="478815" cy="587279"/>
    <xdr:pic>
      <xdr:nvPicPr>
        <xdr:cNvPr id="66" name="Рисунок 65">
          <a:extLst>
            <a:ext uri="{FF2B5EF4-FFF2-40B4-BE49-F238E27FC236}">
              <a16:creationId xmlns:a16="http://schemas.microsoft.com/office/drawing/2014/main" id="{65A14D09-250E-48D6-B8A0-F9DBB9E89B1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84" r="23331"/>
        <a:stretch/>
      </xdr:blipFill>
      <xdr:spPr>
        <a:xfrm>
          <a:off x="1359694" y="5595032"/>
          <a:ext cx="478815" cy="587279"/>
        </a:xfrm>
        <a:prstGeom prst="rect">
          <a:avLst/>
        </a:prstGeom>
      </xdr:spPr>
    </xdr:pic>
    <xdr:clientData/>
  </xdr:oneCellAnchor>
  <xdr:oneCellAnchor>
    <xdr:from>
      <xdr:col>2</xdr:col>
      <xdr:colOff>421433</xdr:colOff>
      <xdr:row>23</xdr:row>
      <xdr:rowOff>50538</xdr:rowOff>
    </xdr:from>
    <xdr:ext cx="495344" cy="587281"/>
    <xdr:pic>
      <xdr:nvPicPr>
        <xdr:cNvPr id="68" name="Рисунок 67">
          <a:extLst>
            <a:ext uri="{FF2B5EF4-FFF2-40B4-BE49-F238E27FC236}">
              <a16:creationId xmlns:a16="http://schemas.microsoft.com/office/drawing/2014/main" id="{FAEC3E30-331A-4F52-81AE-BE283B9BD5C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0" r="21918"/>
        <a:stretch/>
      </xdr:blipFill>
      <xdr:spPr>
        <a:xfrm>
          <a:off x="2035080" y="6854750"/>
          <a:ext cx="495344" cy="587281"/>
        </a:xfrm>
        <a:prstGeom prst="rect">
          <a:avLst/>
        </a:prstGeom>
      </xdr:spPr>
    </xdr:pic>
    <xdr:clientData/>
  </xdr:oneCellAnchor>
  <xdr:oneCellAnchor>
    <xdr:from>
      <xdr:col>1</xdr:col>
      <xdr:colOff>766130</xdr:colOff>
      <xdr:row>25</xdr:row>
      <xdr:rowOff>44650</xdr:rowOff>
    </xdr:from>
    <xdr:ext cx="515354" cy="583886"/>
    <xdr:pic>
      <xdr:nvPicPr>
        <xdr:cNvPr id="69" name="Рисунок 68">
          <a:extLst>
            <a:ext uri="{FF2B5EF4-FFF2-40B4-BE49-F238E27FC236}">
              <a16:creationId xmlns:a16="http://schemas.microsoft.com/office/drawing/2014/main" id="{E2330284-B183-4A9B-B670-967790CECE4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64" t="2637" r="26286" b="2165"/>
        <a:stretch/>
      </xdr:blipFill>
      <xdr:spPr>
        <a:xfrm>
          <a:off x="1371248" y="6947474"/>
          <a:ext cx="515354" cy="583886"/>
        </a:xfrm>
        <a:prstGeom prst="rect">
          <a:avLst/>
        </a:prstGeom>
      </xdr:spPr>
    </xdr:pic>
    <xdr:clientData/>
  </xdr:oneCellAnchor>
  <xdr:oneCellAnchor>
    <xdr:from>
      <xdr:col>1</xdr:col>
      <xdr:colOff>696655</xdr:colOff>
      <xdr:row>27</xdr:row>
      <xdr:rowOff>44759</xdr:rowOff>
    </xdr:from>
    <xdr:ext cx="535268" cy="590961"/>
    <xdr:pic>
      <xdr:nvPicPr>
        <xdr:cNvPr id="71" name="Рисунок 70">
          <a:extLst>
            <a:ext uri="{FF2B5EF4-FFF2-40B4-BE49-F238E27FC236}">
              <a16:creationId xmlns:a16="http://schemas.microsoft.com/office/drawing/2014/main" id="{A8C70F1C-BDAD-4D66-BAA9-1C7ED17C898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63" t="1937" r="26170" b="3180"/>
        <a:stretch/>
      </xdr:blipFill>
      <xdr:spPr>
        <a:xfrm>
          <a:off x="1301773" y="7619935"/>
          <a:ext cx="535268" cy="590961"/>
        </a:xfrm>
        <a:prstGeom prst="rect">
          <a:avLst/>
        </a:prstGeom>
      </xdr:spPr>
    </xdr:pic>
    <xdr:clientData/>
  </xdr:oneCellAnchor>
  <xdr:oneCellAnchor>
    <xdr:from>
      <xdr:col>1</xdr:col>
      <xdr:colOff>775098</xdr:colOff>
      <xdr:row>23</xdr:row>
      <xdr:rowOff>30017</xdr:rowOff>
    </xdr:from>
    <xdr:ext cx="500459" cy="587425"/>
    <xdr:pic>
      <xdr:nvPicPr>
        <xdr:cNvPr id="72" name="Рисунок 71">
          <a:extLst>
            <a:ext uri="{FF2B5EF4-FFF2-40B4-BE49-F238E27FC236}">
              <a16:creationId xmlns:a16="http://schemas.microsoft.com/office/drawing/2014/main" id="{4B7984F7-419E-43F2-9FA7-032644036CD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09" t="1701" r="26700" b="2875"/>
        <a:stretch/>
      </xdr:blipFill>
      <xdr:spPr>
        <a:xfrm>
          <a:off x="1393663" y="6834229"/>
          <a:ext cx="500459" cy="587425"/>
        </a:xfrm>
        <a:prstGeom prst="rect">
          <a:avLst/>
        </a:prstGeom>
      </xdr:spPr>
    </xdr:pic>
    <xdr:clientData/>
  </xdr:oneCellAnchor>
  <xdr:oneCellAnchor>
    <xdr:from>
      <xdr:col>1</xdr:col>
      <xdr:colOff>19680</xdr:colOff>
      <xdr:row>21</xdr:row>
      <xdr:rowOff>48004</xdr:rowOff>
    </xdr:from>
    <xdr:ext cx="585014" cy="576844"/>
    <xdr:pic>
      <xdr:nvPicPr>
        <xdr:cNvPr id="73" name="Рисунок 72">
          <a:extLst>
            <a:ext uri="{FF2B5EF4-FFF2-40B4-BE49-F238E27FC236}">
              <a16:creationId xmlns:a16="http://schemas.microsoft.com/office/drawing/2014/main" id="{AE7C3F7A-1328-499C-A92C-B931714B5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798" y="5606122"/>
          <a:ext cx="585014" cy="576844"/>
        </a:xfrm>
        <a:prstGeom prst="rect">
          <a:avLst/>
        </a:prstGeom>
      </xdr:spPr>
    </xdr:pic>
    <xdr:clientData/>
  </xdr:oneCellAnchor>
  <xdr:oneCellAnchor>
    <xdr:from>
      <xdr:col>1</xdr:col>
      <xdr:colOff>65013</xdr:colOff>
      <xdr:row>25</xdr:row>
      <xdr:rowOff>39702</xdr:rowOff>
    </xdr:from>
    <xdr:ext cx="565202" cy="571888"/>
    <xdr:pic>
      <xdr:nvPicPr>
        <xdr:cNvPr id="75" name="Рисунок 74">
          <a:extLst>
            <a:ext uri="{FF2B5EF4-FFF2-40B4-BE49-F238E27FC236}">
              <a16:creationId xmlns:a16="http://schemas.microsoft.com/office/drawing/2014/main" id="{8A18B768-F6DF-4835-9D24-72AF8920B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131" y="6942526"/>
          <a:ext cx="565202" cy="571888"/>
        </a:xfrm>
        <a:prstGeom prst="rect">
          <a:avLst/>
        </a:prstGeom>
      </xdr:spPr>
    </xdr:pic>
    <xdr:clientData/>
  </xdr:oneCellAnchor>
  <xdr:oneCellAnchor>
    <xdr:from>
      <xdr:col>1</xdr:col>
      <xdr:colOff>29805</xdr:colOff>
      <xdr:row>27</xdr:row>
      <xdr:rowOff>24316</xdr:rowOff>
    </xdr:from>
    <xdr:ext cx="562993" cy="572167"/>
    <xdr:pic>
      <xdr:nvPicPr>
        <xdr:cNvPr id="78" name="Рисунок 77">
          <a:extLst>
            <a:ext uri="{FF2B5EF4-FFF2-40B4-BE49-F238E27FC236}">
              <a16:creationId xmlns:a16="http://schemas.microsoft.com/office/drawing/2014/main" id="{4EEAE92B-A808-49E6-B3E0-5190F7CC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23" y="7599492"/>
          <a:ext cx="562993" cy="572167"/>
        </a:xfrm>
        <a:prstGeom prst="rect">
          <a:avLst/>
        </a:prstGeom>
      </xdr:spPr>
    </xdr:pic>
    <xdr:clientData/>
  </xdr:oneCellAnchor>
  <xdr:oneCellAnchor>
    <xdr:from>
      <xdr:col>1</xdr:col>
      <xdr:colOff>104163</xdr:colOff>
      <xdr:row>29</xdr:row>
      <xdr:rowOff>47167</xdr:rowOff>
    </xdr:from>
    <xdr:ext cx="517227" cy="545376"/>
    <xdr:pic>
      <xdr:nvPicPr>
        <xdr:cNvPr id="82" name="Рисунок 81">
          <a:extLst>
            <a:ext uri="{FF2B5EF4-FFF2-40B4-BE49-F238E27FC236}">
              <a16:creationId xmlns:a16="http://schemas.microsoft.com/office/drawing/2014/main" id="{65B94A8D-DE68-4B3E-8D9A-3A784FCC4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281" y="8294696"/>
          <a:ext cx="517227" cy="545376"/>
        </a:xfrm>
        <a:prstGeom prst="rect">
          <a:avLst/>
        </a:prstGeom>
      </xdr:spPr>
    </xdr:pic>
    <xdr:clientData/>
  </xdr:oneCellAnchor>
  <xdr:twoCellAnchor editAs="oneCell">
    <xdr:from>
      <xdr:col>1</xdr:col>
      <xdr:colOff>69606</xdr:colOff>
      <xdr:row>7</xdr:row>
      <xdr:rowOff>24989</xdr:rowOff>
    </xdr:from>
    <xdr:to>
      <xdr:col>1</xdr:col>
      <xdr:colOff>574877</xdr:colOff>
      <xdr:row>9</xdr:row>
      <xdr:rowOff>175259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B628FD50-E859-4C00-815C-28B17C0E7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4" r="9245"/>
        <a:stretch/>
      </xdr:blipFill>
      <xdr:spPr>
        <a:xfrm>
          <a:off x="688171" y="1557954"/>
          <a:ext cx="505271" cy="586291"/>
        </a:xfrm>
        <a:prstGeom prst="rect">
          <a:avLst/>
        </a:prstGeom>
      </xdr:spPr>
    </xdr:pic>
    <xdr:clientData/>
  </xdr:twoCellAnchor>
  <xdr:twoCellAnchor editAs="oneCell">
    <xdr:from>
      <xdr:col>1</xdr:col>
      <xdr:colOff>702289</xdr:colOff>
      <xdr:row>7</xdr:row>
      <xdr:rowOff>14119</xdr:rowOff>
    </xdr:from>
    <xdr:to>
      <xdr:col>2</xdr:col>
      <xdr:colOff>213039</xdr:colOff>
      <xdr:row>9</xdr:row>
      <xdr:rowOff>169545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A48D4A4-731F-457F-AD4E-B16E27DBAF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0" r="9751"/>
        <a:stretch/>
      </xdr:blipFill>
      <xdr:spPr>
        <a:xfrm>
          <a:off x="1320854" y="1547084"/>
          <a:ext cx="515357" cy="597162"/>
        </a:xfrm>
        <a:prstGeom prst="rect">
          <a:avLst/>
        </a:prstGeom>
      </xdr:spPr>
    </xdr:pic>
    <xdr:clientData/>
  </xdr:twoCellAnchor>
  <xdr:twoCellAnchor editAs="oneCell">
    <xdr:from>
      <xdr:col>2</xdr:col>
      <xdr:colOff>377655</xdr:colOff>
      <xdr:row>7</xdr:row>
      <xdr:rowOff>0</xdr:rowOff>
    </xdr:from>
    <xdr:to>
      <xdr:col>2</xdr:col>
      <xdr:colOff>894582</xdr:colOff>
      <xdr:row>9</xdr:row>
      <xdr:rowOff>169545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7B2B2E74-6D33-4C23-8E24-D657DA82C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59" r="10656"/>
        <a:stretch/>
      </xdr:blipFill>
      <xdr:spPr>
        <a:xfrm>
          <a:off x="1991302" y="1532965"/>
          <a:ext cx="532167" cy="611281"/>
        </a:xfrm>
        <a:prstGeom prst="rect">
          <a:avLst/>
        </a:prstGeom>
      </xdr:spPr>
    </xdr:pic>
    <xdr:clientData/>
  </xdr:twoCellAnchor>
  <xdr:twoCellAnchor editAs="oneCell">
    <xdr:from>
      <xdr:col>1</xdr:col>
      <xdr:colOff>80474</xdr:colOff>
      <xdr:row>10</xdr:row>
      <xdr:rowOff>29135</xdr:rowOff>
    </xdr:from>
    <xdr:to>
      <xdr:col>1</xdr:col>
      <xdr:colOff>631131</xdr:colOff>
      <xdr:row>12</xdr:row>
      <xdr:rowOff>137050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907CBAEF-E389-4584-9B4B-AA301E7CDB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79" r="10522"/>
        <a:stretch/>
      </xdr:blipFill>
      <xdr:spPr>
        <a:xfrm>
          <a:off x="699039" y="2207559"/>
          <a:ext cx="533512" cy="540125"/>
        </a:xfrm>
        <a:prstGeom prst="rect">
          <a:avLst/>
        </a:prstGeom>
      </xdr:spPr>
    </xdr:pic>
    <xdr:clientData/>
  </xdr:twoCellAnchor>
  <xdr:twoCellAnchor editAs="oneCell">
    <xdr:from>
      <xdr:col>1</xdr:col>
      <xdr:colOff>679206</xdr:colOff>
      <xdr:row>10</xdr:row>
      <xdr:rowOff>18265</xdr:rowOff>
    </xdr:from>
    <xdr:to>
      <xdr:col>2</xdr:col>
      <xdr:colOff>246994</xdr:colOff>
      <xdr:row>12</xdr:row>
      <xdr:rowOff>117216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769B3B81-23B2-45DC-80C5-DFD9D1AC3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4" r="10395"/>
        <a:stretch/>
      </xdr:blipFill>
      <xdr:spPr>
        <a:xfrm>
          <a:off x="1297771" y="2196689"/>
          <a:ext cx="562870" cy="529256"/>
        </a:xfrm>
        <a:prstGeom prst="rect">
          <a:avLst/>
        </a:prstGeom>
      </xdr:spPr>
    </xdr:pic>
    <xdr:clientData/>
  </xdr:twoCellAnchor>
  <xdr:twoCellAnchor editAs="oneCell">
    <xdr:from>
      <xdr:col>2</xdr:col>
      <xdr:colOff>352665</xdr:colOff>
      <xdr:row>10</xdr:row>
      <xdr:rowOff>29135</xdr:rowOff>
    </xdr:from>
    <xdr:to>
      <xdr:col>2</xdr:col>
      <xdr:colOff>950610</xdr:colOff>
      <xdr:row>12</xdr:row>
      <xdr:rowOff>117216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8EC3A261-9592-4E7C-BB8E-3B2BAB015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12" r="8611"/>
        <a:stretch/>
      </xdr:blipFill>
      <xdr:spPr>
        <a:xfrm>
          <a:off x="1966312" y="2207559"/>
          <a:ext cx="597945" cy="518386"/>
        </a:xfrm>
        <a:prstGeom prst="rect">
          <a:avLst/>
        </a:prstGeom>
      </xdr:spPr>
    </xdr:pic>
    <xdr:clientData/>
  </xdr:twoCellAnchor>
  <xdr:twoCellAnchor editAs="oneCell">
    <xdr:from>
      <xdr:col>1</xdr:col>
      <xdr:colOff>44615</xdr:colOff>
      <xdr:row>13</xdr:row>
      <xdr:rowOff>22414</xdr:rowOff>
    </xdr:from>
    <xdr:to>
      <xdr:col>1</xdr:col>
      <xdr:colOff>707219</xdr:colOff>
      <xdr:row>14</xdr:row>
      <xdr:rowOff>285640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933CAE3-0EFF-43D1-A359-916FC9D5E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80" y="2846296"/>
          <a:ext cx="645459" cy="594920"/>
        </a:xfrm>
        <a:prstGeom prst="rect">
          <a:avLst/>
        </a:prstGeom>
      </xdr:spPr>
    </xdr:pic>
    <xdr:clientData/>
  </xdr:twoCellAnchor>
  <xdr:twoCellAnchor editAs="oneCell">
    <xdr:from>
      <xdr:col>1</xdr:col>
      <xdr:colOff>690074</xdr:colOff>
      <xdr:row>13</xdr:row>
      <xdr:rowOff>34627</xdr:rowOff>
    </xdr:from>
    <xdr:to>
      <xdr:col>2</xdr:col>
      <xdr:colOff>326331</xdr:colOff>
      <xdr:row>14</xdr:row>
      <xdr:rowOff>212352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4810647F-2632-4C21-8EC4-9BC4FBC4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639" y="2858509"/>
          <a:ext cx="623719" cy="501799"/>
        </a:xfrm>
        <a:prstGeom prst="rect">
          <a:avLst/>
        </a:prstGeom>
      </xdr:spPr>
    </xdr:pic>
    <xdr:clientData/>
  </xdr:twoCellAnchor>
  <xdr:twoCellAnchor editAs="oneCell">
    <xdr:from>
      <xdr:col>2</xdr:col>
      <xdr:colOff>307842</xdr:colOff>
      <xdr:row>13</xdr:row>
      <xdr:rowOff>34628</xdr:rowOff>
    </xdr:from>
    <xdr:to>
      <xdr:col>2</xdr:col>
      <xdr:colOff>950612</xdr:colOff>
      <xdr:row>14</xdr:row>
      <xdr:rowOff>251012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457BE838-7EBF-44EE-9012-2127D7A2E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489" y="2858510"/>
          <a:ext cx="642770" cy="540458"/>
        </a:xfrm>
        <a:prstGeom prst="rect">
          <a:avLst/>
        </a:prstGeom>
      </xdr:spPr>
    </xdr:pic>
    <xdr:clientData/>
  </xdr:twoCellAnchor>
  <xdr:twoCellAnchor editAs="oneCell">
    <xdr:from>
      <xdr:col>1</xdr:col>
      <xdr:colOff>69604</xdr:colOff>
      <xdr:row>15</xdr:row>
      <xdr:rowOff>26396</xdr:rowOff>
    </xdr:from>
    <xdr:to>
      <xdr:col>1</xdr:col>
      <xdr:colOff>668896</xdr:colOff>
      <xdr:row>16</xdr:row>
      <xdr:rowOff>231401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A99BE5C-8368-4A72-909B-6CD80F74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69" y="3513667"/>
          <a:ext cx="585957" cy="536699"/>
        </a:xfrm>
        <a:prstGeom prst="rect">
          <a:avLst/>
        </a:prstGeom>
      </xdr:spPr>
    </xdr:pic>
    <xdr:clientData/>
  </xdr:twoCellAnchor>
  <xdr:twoCellAnchor editAs="oneCell">
    <xdr:from>
      <xdr:col>1</xdr:col>
      <xdr:colOff>691418</xdr:colOff>
      <xdr:row>15</xdr:row>
      <xdr:rowOff>8964</xdr:rowOff>
    </xdr:from>
    <xdr:to>
      <xdr:col>2</xdr:col>
      <xdr:colOff>341011</xdr:colOff>
      <xdr:row>16</xdr:row>
      <xdr:rowOff>193972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65E7763-311F-421C-8F65-7A450FDB0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983" y="3496235"/>
          <a:ext cx="644675" cy="516702"/>
        </a:xfrm>
        <a:prstGeom prst="rect">
          <a:avLst/>
        </a:prstGeom>
      </xdr:spPr>
    </xdr:pic>
    <xdr:clientData/>
  </xdr:twoCellAnchor>
  <xdr:twoCellAnchor editAs="oneCell">
    <xdr:from>
      <xdr:col>2</xdr:col>
      <xdr:colOff>388523</xdr:colOff>
      <xdr:row>15</xdr:row>
      <xdr:rowOff>40218</xdr:rowOff>
    </xdr:from>
    <xdr:to>
      <xdr:col>2</xdr:col>
      <xdr:colOff>950049</xdr:colOff>
      <xdr:row>16</xdr:row>
      <xdr:rowOff>232074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A8032148-BA30-4D04-A127-6042D3CD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170" y="3527489"/>
          <a:ext cx="561526" cy="523550"/>
        </a:xfrm>
        <a:prstGeom prst="rect">
          <a:avLst/>
        </a:prstGeom>
      </xdr:spPr>
    </xdr:pic>
    <xdr:clientData/>
  </xdr:twoCellAnchor>
  <xdr:twoCellAnchor editAs="oneCell">
    <xdr:from>
      <xdr:col>1</xdr:col>
      <xdr:colOff>33745</xdr:colOff>
      <xdr:row>17</xdr:row>
      <xdr:rowOff>7732</xdr:rowOff>
    </xdr:from>
    <xdr:to>
      <xdr:col>1</xdr:col>
      <xdr:colOff>631131</xdr:colOff>
      <xdr:row>18</xdr:row>
      <xdr:rowOff>208206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97D6BC44-1E41-4C4E-814D-723FDA42B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10" y="4158391"/>
          <a:ext cx="580241" cy="539788"/>
        </a:xfrm>
        <a:prstGeom prst="rect">
          <a:avLst/>
        </a:prstGeom>
      </xdr:spPr>
    </xdr:pic>
    <xdr:clientData/>
  </xdr:twoCellAnchor>
  <xdr:twoCellAnchor editAs="oneCell">
    <xdr:from>
      <xdr:col>1</xdr:col>
      <xdr:colOff>729181</xdr:colOff>
      <xdr:row>17</xdr:row>
      <xdr:rowOff>67236</xdr:rowOff>
    </xdr:from>
    <xdr:to>
      <xdr:col>2</xdr:col>
      <xdr:colOff>326330</xdr:colOff>
      <xdr:row>18</xdr:row>
      <xdr:rowOff>285079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DFDAF07E-8937-4162-A819-5F0CB889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746" y="4217895"/>
          <a:ext cx="592231" cy="551442"/>
        </a:xfrm>
        <a:prstGeom prst="rect">
          <a:avLst/>
        </a:prstGeom>
      </xdr:spPr>
    </xdr:pic>
    <xdr:clientData/>
  </xdr:twoCellAnchor>
  <xdr:twoCellAnchor editAs="oneCell">
    <xdr:from>
      <xdr:col>2</xdr:col>
      <xdr:colOff>399394</xdr:colOff>
      <xdr:row>17</xdr:row>
      <xdr:rowOff>57749</xdr:rowOff>
    </xdr:from>
    <xdr:to>
      <xdr:col>2</xdr:col>
      <xdr:colOff>1007873</xdr:colOff>
      <xdr:row>19</xdr:row>
      <xdr:rowOff>449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239EE7A5-827F-41ED-B244-1FD358125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041" y="4208408"/>
          <a:ext cx="623719" cy="606088"/>
        </a:xfrm>
        <a:prstGeom prst="rect">
          <a:avLst/>
        </a:prstGeom>
      </xdr:spPr>
    </xdr:pic>
    <xdr:clientData/>
  </xdr:twoCellAnchor>
  <xdr:twoCellAnchor editAs="oneCell">
    <xdr:from>
      <xdr:col>1</xdr:col>
      <xdr:colOff>40804</xdr:colOff>
      <xdr:row>19</xdr:row>
      <xdr:rowOff>42918</xdr:rowOff>
    </xdr:from>
    <xdr:to>
      <xdr:col>1</xdr:col>
      <xdr:colOff>669631</xdr:colOff>
      <xdr:row>20</xdr:row>
      <xdr:rowOff>247538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35D6590D-DBA8-4EAB-97E8-3743F9F16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69" y="4856965"/>
          <a:ext cx="630732" cy="522979"/>
        </a:xfrm>
        <a:prstGeom prst="rect">
          <a:avLst/>
        </a:prstGeom>
      </xdr:spPr>
    </xdr:pic>
    <xdr:clientData/>
  </xdr:twoCellAnchor>
  <xdr:twoCellAnchor editAs="oneCell">
    <xdr:from>
      <xdr:col>1</xdr:col>
      <xdr:colOff>700383</xdr:colOff>
      <xdr:row>19</xdr:row>
      <xdr:rowOff>37204</xdr:rowOff>
    </xdr:from>
    <xdr:to>
      <xdr:col>2</xdr:col>
      <xdr:colOff>321960</xdr:colOff>
      <xdr:row>20</xdr:row>
      <xdr:rowOff>247540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9BFB1C83-0F16-4E7D-8766-3BDE78D93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948" y="4851251"/>
          <a:ext cx="622374" cy="553460"/>
        </a:xfrm>
        <a:prstGeom prst="rect">
          <a:avLst/>
        </a:prstGeom>
      </xdr:spPr>
    </xdr:pic>
    <xdr:clientData/>
  </xdr:twoCellAnchor>
  <xdr:twoCellAnchor editAs="oneCell">
    <xdr:from>
      <xdr:col>2</xdr:col>
      <xdr:colOff>404547</xdr:colOff>
      <xdr:row>19</xdr:row>
      <xdr:rowOff>35859</xdr:rowOff>
    </xdr:from>
    <xdr:to>
      <xdr:col>2</xdr:col>
      <xdr:colOff>1050902</xdr:colOff>
      <xdr:row>21</xdr:row>
      <xdr:rowOff>448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C7F04AF1-A8A4-46A0-AB76-ADCDAD55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194" y="4849906"/>
          <a:ext cx="646355" cy="608927"/>
        </a:xfrm>
        <a:prstGeom prst="rect">
          <a:avLst/>
        </a:prstGeom>
      </xdr:spPr>
    </xdr:pic>
    <xdr:clientData/>
  </xdr:twoCellAnchor>
  <xdr:twoCellAnchor editAs="oneCell">
    <xdr:from>
      <xdr:col>1</xdr:col>
      <xdr:colOff>697824</xdr:colOff>
      <xdr:row>29</xdr:row>
      <xdr:rowOff>30146</xdr:rowOff>
    </xdr:from>
    <xdr:to>
      <xdr:col>2</xdr:col>
      <xdr:colOff>339554</xdr:colOff>
      <xdr:row>30</xdr:row>
      <xdr:rowOff>288685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D31C1CA1-FB39-4454-8C96-34D4F1E34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942" y="8277675"/>
          <a:ext cx="601626" cy="590906"/>
        </a:xfrm>
        <a:prstGeom prst="rect">
          <a:avLst/>
        </a:prstGeom>
      </xdr:spPr>
    </xdr:pic>
    <xdr:clientData/>
  </xdr:twoCellAnchor>
  <xdr:twoCellAnchor editAs="oneCell">
    <xdr:from>
      <xdr:col>1</xdr:col>
      <xdr:colOff>89438</xdr:colOff>
      <xdr:row>31</xdr:row>
      <xdr:rowOff>13307</xdr:rowOff>
    </xdr:from>
    <xdr:to>
      <xdr:col>1</xdr:col>
      <xdr:colOff>593367</xdr:colOff>
      <xdr:row>32</xdr:row>
      <xdr:rowOff>284181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12CDA88-7D78-4C68-8A3B-46B683896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003" y="11461236"/>
          <a:ext cx="494404" cy="610189"/>
        </a:xfrm>
        <a:prstGeom prst="rect">
          <a:avLst/>
        </a:prstGeom>
      </xdr:spPr>
    </xdr:pic>
    <xdr:clientData/>
  </xdr:twoCellAnchor>
  <xdr:twoCellAnchor editAs="oneCell">
    <xdr:from>
      <xdr:col>1</xdr:col>
      <xdr:colOff>762641</xdr:colOff>
      <xdr:row>31</xdr:row>
      <xdr:rowOff>55135</xdr:rowOff>
    </xdr:from>
    <xdr:to>
      <xdr:col>2</xdr:col>
      <xdr:colOff>364095</xdr:colOff>
      <xdr:row>32</xdr:row>
      <xdr:rowOff>212530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1BFE585B-3648-445C-B7BF-3C2A44B2F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206" y="11503064"/>
          <a:ext cx="594631" cy="47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385628</xdr:colOff>
      <xdr:row>31</xdr:row>
      <xdr:rowOff>60849</xdr:rowOff>
    </xdr:from>
    <xdr:to>
      <xdr:col>2</xdr:col>
      <xdr:colOff>935370</xdr:colOff>
      <xdr:row>32</xdr:row>
      <xdr:rowOff>284535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E496D3F7-B4E4-4CE4-890D-D608791D3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75" y="11508778"/>
          <a:ext cx="555457" cy="563001"/>
        </a:xfrm>
        <a:prstGeom prst="rect">
          <a:avLst/>
        </a:prstGeom>
      </xdr:spPr>
    </xdr:pic>
    <xdr:clientData/>
  </xdr:twoCellAnchor>
  <xdr:twoCellAnchor editAs="oneCell">
    <xdr:from>
      <xdr:col>1</xdr:col>
      <xdr:colOff>18075</xdr:colOff>
      <xdr:row>33</xdr:row>
      <xdr:rowOff>85165</xdr:rowOff>
    </xdr:from>
    <xdr:to>
      <xdr:col>1</xdr:col>
      <xdr:colOff>651111</xdr:colOff>
      <xdr:row>34</xdr:row>
      <xdr:rowOff>263469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72438EF5-5928-457D-A54A-6C8AEAB71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193" y="9677400"/>
          <a:ext cx="633036" cy="508766"/>
        </a:xfrm>
        <a:prstGeom prst="rect">
          <a:avLst/>
        </a:prstGeom>
      </xdr:spPr>
    </xdr:pic>
    <xdr:clientData/>
  </xdr:twoCellAnchor>
  <xdr:twoCellAnchor editAs="oneCell">
    <xdr:from>
      <xdr:col>1</xdr:col>
      <xdr:colOff>666447</xdr:colOff>
      <xdr:row>33</xdr:row>
      <xdr:rowOff>78776</xdr:rowOff>
    </xdr:from>
    <xdr:to>
      <xdr:col>2</xdr:col>
      <xdr:colOff>269628</xdr:colOff>
      <xdr:row>34</xdr:row>
      <xdr:rowOff>286102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AA9B898E-3B1C-42C4-BF07-F7E1AFF92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65" y="9671011"/>
          <a:ext cx="572602" cy="528263"/>
        </a:xfrm>
        <a:prstGeom prst="rect">
          <a:avLst/>
        </a:prstGeom>
      </xdr:spPr>
    </xdr:pic>
    <xdr:clientData/>
  </xdr:twoCellAnchor>
  <xdr:twoCellAnchor editAs="oneCell">
    <xdr:from>
      <xdr:col>1</xdr:col>
      <xdr:colOff>213039</xdr:colOff>
      <xdr:row>39</xdr:row>
      <xdr:rowOff>76201</xdr:rowOff>
    </xdr:from>
    <xdr:to>
      <xdr:col>1</xdr:col>
      <xdr:colOff>822112</xdr:colOff>
      <xdr:row>41</xdr:row>
      <xdr:rowOff>150723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E6B6E3A0-4B8B-4C23-ACB2-0F855888E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604" y="13514295"/>
          <a:ext cx="618598" cy="504826"/>
        </a:xfrm>
        <a:prstGeom prst="rect">
          <a:avLst/>
        </a:prstGeom>
      </xdr:spPr>
    </xdr:pic>
    <xdr:clientData/>
  </xdr:twoCellAnchor>
  <xdr:twoCellAnchor editAs="oneCell">
    <xdr:from>
      <xdr:col>2</xdr:col>
      <xdr:colOff>285607</xdr:colOff>
      <xdr:row>39</xdr:row>
      <xdr:rowOff>64816</xdr:rowOff>
    </xdr:from>
    <xdr:to>
      <xdr:col>2</xdr:col>
      <xdr:colOff>895142</xdr:colOff>
      <xdr:row>41</xdr:row>
      <xdr:rowOff>131512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ECFA159A-ACC3-405C-B0A2-A386E4202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9254" y="13502910"/>
          <a:ext cx="624775" cy="512240"/>
        </a:xfrm>
        <a:prstGeom prst="rect">
          <a:avLst/>
        </a:prstGeom>
      </xdr:spPr>
    </xdr:pic>
    <xdr:clientData/>
  </xdr:twoCellAnchor>
  <xdr:twoCellAnchor editAs="oneCell">
    <xdr:from>
      <xdr:col>4</xdr:col>
      <xdr:colOff>259767</xdr:colOff>
      <xdr:row>43</xdr:row>
      <xdr:rowOff>23492</xdr:rowOff>
    </xdr:from>
    <xdr:to>
      <xdr:col>4</xdr:col>
      <xdr:colOff>782970</xdr:colOff>
      <xdr:row>43</xdr:row>
      <xdr:rowOff>708230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C35EBCFA-3646-4963-A472-F0F37DF35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2" r="10669"/>
        <a:stretch/>
      </xdr:blipFill>
      <xdr:spPr>
        <a:xfrm>
          <a:off x="4069767" y="14349092"/>
          <a:ext cx="532728" cy="677118"/>
        </a:xfrm>
        <a:prstGeom prst="rect">
          <a:avLst/>
        </a:prstGeom>
      </xdr:spPr>
    </xdr:pic>
    <xdr:clientData/>
  </xdr:twoCellAnchor>
  <xdr:twoCellAnchor editAs="oneCell">
    <xdr:from>
      <xdr:col>5</xdr:col>
      <xdr:colOff>437158</xdr:colOff>
      <xdr:row>43</xdr:row>
      <xdr:rowOff>87386</xdr:rowOff>
    </xdr:from>
    <xdr:to>
      <xdr:col>6</xdr:col>
      <xdr:colOff>517615</xdr:colOff>
      <xdr:row>43</xdr:row>
      <xdr:rowOff>669636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9600DEF1-8DB6-4430-B893-D8B6AFB9D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4" r="8366"/>
        <a:stretch/>
      </xdr:blipFill>
      <xdr:spPr>
        <a:xfrm>
          <a:off x="5242240" y="14412986"/>
          <a:ext cx="907116" cy="584155"/>
        </a:xfrm>
        <a:prstGeom prst="rect">
          <a:avLst/>
        </a:prstGeom>
      </xdr:spPr>
    </xdr:pic>
    <xdr:clientData/>
  </xdr:twoCellAnchor>
  <xdr:twoCellAnchor editAs="oneCell">
    <xdr:from>
      <xdr:col>2</xdr:col>
      <xdr:colOff>352199</xdr:colOff>
      <xdr:row>37</xdr:row>
      <xdr:rowOff>55570</xdr:rowOff>
    </xdr:from>
    <xdr:to>
      <xdr:col>2</xdr:col>
      <xdr:colOff>668767</xdr:colOff>
      <xdr:row>37</xdr:row>
      <xdr:rowOff>512769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19F41A7C-B47F-463D-BA48-984FF8545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73" r="36248"/>
        <a:stretch/>
      </xdr:blipFill>
      <xdr:spPr>
        <a:xfrm>
          <a:off x="1954640" y="13256099"/>
          <a:ext cx="308948" cy="449579"/>
        </a:xfrm>
        <a:prstGeom prst="rect">
          <a:avLst/>
        </a:prstGeom>
      </xdr:spPr>
    </xdr:pic>
    <xdr:clientData/>
  </xdr:twoCellAnchor>
  <xdr:twoCellAnchor editAs="oneCell">
    <xdr:from>
      <xdr:col>1</xdr:col>
      <xdr:colOff>504265</xdr:colOff>
      <xdr:row>37</xdr:row>
      <xdr:rowOff>11206</xdr:rowOff>
    </xdr:from>
    <xdr:to>
      <xdr:col>1</xdr:col>
      <xdr:colOff>797425</xdr:colOff>
      <xdr:row>37</xdr:row>
      <xdr:rowOff>512882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9755CB02-EF9B-41FF-AA78-45167981F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9" r="35400"/>
        <a:stretch/>
      </xdr:blipFill>
      <xdr:spPr>
        <a:xfrm>
          <a:off x="1120589" y="13211735"/>
          <a:ext cx="293160" cy="503581"/>
        </a:xfrm>
        <a:prstGeom prst="rect">
          <a:avLst/>
        </a:prstGeom>
      </xdr:spPr>
    </xdr:pic>
    <xdr:clientData/>
  </xdr:twoCellAnchor>
  <xdr:twoCellAnchor editAs="oneCell">
    <xdr:from>
      <xdr:col>2</xdr:col>
      <xdr:colOff>363710</xdr:colOff>
      <xdr:row>38</xdr:row>
      <xdr:rowOff>13581</xdr:rowOff>
    </xdr:from>
    <xdr:to>
      <xdr:col>2</xdr:col>
      <xdr:colOff>631340</xdr:colOff>
      <xdr:row>38</xdr:row>
      <xdr:rowOff>549863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1D02895F-4410-4FD5-8FBA-45022C8EA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36" r="35142"/>
        <a:stretch/>
      </xdr:blipFill>
      <xdr:spPr>
        <a:xfrm>
          <a:off x="1966151" y="13763199"/>
          <a:ext cx="260010" cy="532919"/>
        </a:xfrm>
        <a:prstGeom prst="rect">
          <a:avLst/>
        </a:prstGeom>
      </xdr:spPr>
    </xdr:pic>
    <xdr:clientData/>
  </xdr:twoCellAnchor>
  <xdr:twoCellAnchor editAs="oneCell">
    <xdr:from>
      <xdr:col>1</xdr:col>
      <xdr:colOff>518461</xdr:colOff>
      <xdr:row>38</xdr:row>
      <xdr:rowOff>26435</xdr:rowOff>
    </xdr:from>
    <xdr:to>
      <xdr:col>1</xdr:col>
      <xdr:colOff>741721</xdr:colOff>
      <xdr:row>38</xdr:row>
      <xdr:rowOff>604660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CDAC42E9-ECE6-494F-9BBB-76C80C5D9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40" r="35079"/>
        <a:stretch/>
      </xdr:blipFill>
      <xdr:spPr>
        <a:xfrm>
          <a:off x="1134785" y="13776053"/>
          <a:ext cx="238500" cy="5710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21</xdr:row>
      <xdr:rowOff>78441</xdr:rowOff>
    </xdr:from>
    <xdr:to>
      <xdr:col>2</xdr:col>
      <xdr:colOff>879295</xdr:colOff>
      <xdr:row>22</xdr:row>
      <xdr:rowOff>270452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87B82A5E-E985-4B65-AAD3-00DF01753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4" y="5636559"/>
          <a:ext cx="504010" cy="528187"/>
        </a:xfrm>
        <a:prstGeom prst="rect">
          <a:avLst/>
        </a:prstGeom>
      </xdr:spPr>
    </xdr:pic>
    <xdr:clientData/>
  </xdr:twoCellAnchor>
  <xdr:twoCellAnchor editAs="oneCell">
    <xdr:from>
      <xdr:col>2</xdr:col>
      <xdr:colOff>437030</xdr:colOff>
      <xdr:row>25</xdr:row>
      <xdr:rowOff>78441</xdr:rowOff>
    </xdr:from>
    <xdr:to>
      <xdr:col>2</xdr:col>
      <xdr:colOff>917907</xdr:colOff>
      <xdr:row>26</xdr:row>
      <xdr:rowOff>228792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BF7C7C93-876E-4E44-B9F4-D3479C3B8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854" y="6981265"/>
          <a:ext cx="484687" cy="486527"/>
        </a:xfrm>
        <a:prstGeom prst="rect">
          <a:avLst/>
        </a:prstGeom>
      </xdr:spPr>
    </xdr:pic>
    <xdr:clientData/>
  </xdr:twoCellAnchor>
  <xdr:twoCellAnchor editAs="oneCell">
    <xdr:from>
      <xdr:col>2</xdr:col>
      <xdr:colOff>470647</xdr:colOff>
      <xdr:row>33</xdr:row>
      <xdr:rowOff>123265</xdr:rowOff>
    </xdr:from>
    <xdr:to>
      <xdr:col>2</xdr:col>
      <xdr:colOff>971390</xdr:colOff>
      <xdr:row>34</xdr:row>
      <xdr:rowOff>247234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160608B8-9B73-43DF-A932-4ADE00C2F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471" y="9715500"/>
          <a:ext cx="496933" cy="458241"/>
        </a:xfrm>
        <a:prstGeom prst="rect">
          <a:avLst/>
        </a:prstGeom>
      </xdr:spPr>
    </xdr:pic>
    <xdr:clientData/>
  </xdr:twoCellAnchor>
  <xdr:twoCellAnchor editAs="oneCell">
    <xdr:from>
      <xdr:col>1</xdr:col>
      <xdr:colOff>39222</xdr:colOff>
      <xdr:row>35</xdr:row>
      <xdr:rowOff>100853</xdr:rowOff>
    </xdr:from>
    <xdr:to>
      <xdr:col>1</xdr:col>
      <xdr:colOff>360860</xdr:colOff>
      <xdr:row>36</xdr:row>
      <xdr:rowOff>250716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48A34E0F-597A-4319-9BA9-4E1C7AF9C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40" y="10365441"/>
          <a:ext cx="331163" cy="48413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408215</xdr:colOff>
      <xdr:row>35</xdr:row>
      <xdr:rowOff>67236</xdr:rowOff>
    </xdr:from>
    <xdr:to>
      <xdr:col>1</xdr:col>
      <xdr:colOff>742454</xdr:colOff>
      <xdr:row>36</xdr:row>
      <xdr:rowOff>263760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C66AA7A5-6408-4172-9E9B-124908975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333" y="10331824"/>
          <a:ext cx="347574" cy="526986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784411</xdr:colOff>
      <xdr:row>35</xdr:row>
      <xdr:rowOff>89646</xdr:rowOff>
    </xdr:from>
    <xdr:to>
      <xdr:col>2</xdr:col>
      <xdr:colOff>187212</xdr:colOff>
      <xdr:row>36</xdr:row>
      <xdr:rowOff>286173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6556C4AB-CE6A-4852-BB10-3108524A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529" y="10354234"/>
          <a:ext cx="360792" cy="526989"/>
        </a:xfrm>
        <a:prstGeom prst="rect">
          <a:avLst/>
        </a:prstGeom>
      </xdr:spPr>
    </xdr:pic>
    <xdr:clientData/>
  </xdr:twoCellAnchor>
  <xdr:twoCellAnchor editAs="oneCell">
    <xdr:from>
      <xdr:col>2</xdr:col>
      <xdr:colOff>208910</xdr:colOff>
      <xdr:row>35</xdr:row>
      <xdr:rowOff>78441</xdr:rowOff>
    </xdr:from>
    <xdr:to>
      <xdr:col>2</xdr:col>
      <xdr:colOff>574896</xdr:colOff>
      <xdr:row>36</xdr:row>
      <xdr:rowOff>283821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26282E82-7C96-4D3A-ADAA-D52EC438D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734" y="10343029"/>
          <a:ext cx="371701" cy="537747"/>
        </a:xfrm>
        <a:prstGeom prst="rect">
          <a:avLst/>
        </a:prstGeom>
      </xdr:spPr>
    </xdr:pic>
    <xdr:clientData/>
  </xdr:twoCellAnchor>
  <xdr:twoCellAnchor editAs="oneCell">
    <xdr:from>
      <xdr:col>2</xdr:col>
      <xdr:colOff>641057</xdr:colOff>
      <xdr:row>35</xdr:row>
      <xdr:rowOff>81296</xdr:rowOff>
    </xdr:from>
    <xdr:to>
      <xdr:col>2</xdr:col>
      <xdr:colOff>1047861</xdr:colOff>
      <xdr:row>36</xdr:row>
      <xdr:rowOff>324138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6E95E38B-667C-47AC-9341-7C91558D1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81" y="10345884"/>
          <a:ext cx="401089" cy="5694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16799</xdr:colOff>
      <xdr:row>0</xdr:row>
      <xdr:rowOff>68466</xdr:rowOff>
    </xdr:from>
    <xdr:ext cx="477806" cy="391669"/>
    <xdr:pic>
      <xdr:nvPicPr>
        <xdr:cNvPr id="2" name="Рисунок 1">
          <a:extLst>
            <a:ext uri="{FF2B5EF4-FFF2-40B4-BE49-F238E27FC236}">
              <a16:creationId xmlns:a16="http://schemas.microsoft.com/office/drawing/2014/main" id="{B70ADE40-E4B6-452B-BC31-C2331C7F3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9" y="70371"/>
          <a:ext cx="477806" cy="391669"/>
        </a:xfrm>
        <a:prstGeom prst="rect">
          <a:avLst/>
        </a:prstGeom>
      </xdr:spPr>
    </xdr:pic>
    <xdr:clientData/>
  </xdr:oneCellAnchor>
  <xdr:oneCellAnchor>
    <xdr:from>
      <xdr:col>1</xdr:col>
      <xdr:colOff>55715</xdr:colOff>
      <xdr:row>11</xdr:row>
      <xdr:rowOff>40900</xdr:rowOff>
    </xdr:from>
    <xdr:ext cx="483818" cy="587281"/>
    <xdr:pic>
      <xdr:nvPicPr>
        <xdr:cNvPr id="3" name="Рисунок 2">
          <a:extLst>
            <a:ext uri="{FF2B5EF4-FFF2-40B4-BE49-F238E27FC236}">
              <a16:creationId xmlns:a16="http://schemas.microsoft.com/office/drawing/2014/main" id="{5BF2A9AC-425C-4C8A-983F-C7B4F59B668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30" r="22361"/>
        <a:stretch/>
      </xdr:blipFill>
      <xdr:spPr>
        <a:xfrm>
          <a:off x="661505" y="3035560"/>
          <a:ext cx="483818" cy="587281"/>
        </a:xfrm>
        <a:prstGeom prst="rect">
          <a:avLst/>
        </a:prstGeom>
      </xdr:spPr>
    </xdr:pic>
    <xdr:clientData/>
  </xdr:oneCellAnchor>
  <xdr:twoCellAnchor editAs="oneCell">
    <xdr:from>
      <xdr:col>1</xdr:col>
      <xdr:colOff>46728</xdr:colOff>
      <xdr:row>7</xdr:row>
      <xdr:rowOff>69812</xdr:rowOff>
    </xdr:from>
    <xdr:to>
      <xdr:col>1</xdr:col>
      <xdr:colOff>630779</xdr:colOff>
      <xdr:row>8</xdr:row>
      <xdr:rowOff>284629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17B3377-86F4-420D-A69E-A8F7234B2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803" y="1725257"/>
          <a:ext cx="591671" cy="557717"/>
        </a:xfrm>
        <a:prstGeom prst="rect">
          <a:avLst/>
        </a:prstGeom>
      </xdr:spPr>
    </xdr:pic>
    <xdr:clientData/>
  </xdr:twoCellAnchor>
  <xdr:twoCellAnchor editAs="oneCell">
    <xdr:from>
      <xdr:col>1</xdr:col>
      <xdr:colOff>35858</xdr:colOff>
      <xdr:row>9</xdr:row>
      <xdr:rowOff>46728</xdr:rowOff>
    </xdr:from>
    <xdr:to>
      <xdr:col>1</xdr:col>
      <xdr:colOff>666590</xdr:colOff>
      <xdr:row>10</xdr:row>
      <xdr:rowOff>246641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D39274A-07D6-47B9-B84B-74B9D41C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838" y="2368923"/>
          <a:ext cx="640257" cy="546623"/>
        </a:xfrm>
        <a:prstGeom prst="rect">
          <a:avLst/>
        </a:prstGeom>
      </xdr:spPr>
    </xdr:pic>
    <xdr:clientData/>
  </xdr:twoCellAnchor>
  <xdr:twoCellAnchor editAs="oneCell">
    <xdr:from>
      <xdr:col>1</xdr:col>
      <xdr:colOff>163269</xdr:colOff>
      <xdr:row>23</xdr:row>
      <xdr:rowOff>93457</xdr:rowOff>
    </xdr:from>
    <xdr:to>
      <xdr:col>1</xdr:col>
      <xdr:colOff>779962</xdr:colOff>
      <xdr:row>25</xdr:row>
      <xdr:rowOff>170556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5E76B3F-D9E7-4605-B3B0-47146A5AB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344" y="5774167"/>
          <a:ext cx="630028" cy="524773"/>
        </a:xfrm>
        <a:prstGeom prst="rect">
          <a:avLst/>
        </a:prstGeom>
      </xdr:spPr>
    </xdr:pic>
    <xdr:clientData/>
  </xdr:twoCellAnchor>
  <xdr:twoCellAnchor editAs="oneCell">
    <xdr:from>
      <xdr:col>4</xdr:col>
      <xdr:colOff>174988</xdr:colOff>
      <xdr:row>27</xdr:row>
      <xdr:rowOff>17441</xdr:rowOff>
    </xdr:from>
    <xdr:to>
      <xdr:col>4</xdr:col>
      <xdr:colOff>873834</xdr:colOff>
      <xdr:row>27</xdr:row>
      <xdr:rowOff>707894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62BC4B6-D42C-49C7-B61A-983AE7DBA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2" r="10669"/>
        <a:stretch/>
      </xdr:blipFill>
      <xdr:spPr>
        <a:xfrm>
          <a:off x="3089638" y="6597311"/>
          <a:ext cx="698846" cy="694263"/>
        </a:xfrm>
        <a:prstGeom prst="rect">
          <a:avLst/>
        </a:prstGeom>
      </xdr:spPr>
    </xdr:pic>
    <xdr:clientData/>
  </xdr:twoCellAnchor>
  <xdr:twoCellAnchor editAs="oneCell">
    <xdr:from>
      <xdr:col>5</xdr:col>
      <xdr:colOff>513262</xdr:colOff>
      <xdr:row>27</xdr:row>
      <xdr:rowOff>63541</xdr:rowOff>
    </xdr:from>
    <xdr:to>
      <xdr:col>6</xdr:col>
      <xdr:colOff>441143</xdr:colOff>
      <xdr:row>27</xdr:row>
      <xdr:rowOff>703061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EE7BB29-E6D2-452E-9EE2-C218CB3243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4" r="8366"/>
        <a:stretch/>
      </xdr:blipFill>
      <xdr:spPr>
        <a:xfrm>
          <a:off x="4388032" y="6641506"/>
          <a:ext cx="731790" cy="649045"/>
        </a:xfrm>
        <a:prstGeom prst="rect">
          <a:avLst/>
        </a:prstGeom>
      </xdr:spPr>
    </xdr:pic>
    <xdr:clientData/>
  </xdr:twoCellAnchor>
  <xdr:twoCellAnchor editAs="oneCell">
    <xdr:from>
      <xdr:col>1</xdr:col>
      <xdr:colOff>128754</xdr:colOff>
      <xdr:row>17</xdr:row>
      <xdr:rowOff>44823</xdr:rowOff>
    </xdr:from>
    <xdr:to>
      <xdr:col>1</xdr:col>
      <xdr:colOff>476138</xdr:colOff>
      <xdr:row>19</xdr:row>
      <xdr:rowOff>91550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CA8BDF8-B1CF-41B3-AC11-E756685CE6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9" r="35400"/>
        <a:stretch/>
      </xdr:blipFill>
      <xdr:spPr>
        <a:xfrm>
          <a:off x="733872" y="3709147"/>
          <a:ext cx="351194" cy="610831"/>
        </a:xfrm>
        <a:prstGeom prst="rect">
          <a:avLst/>
        </a:prstGeom>
      </xdr:spPr>
    </xdr:pic>
    <xdr:clientData/>
  </xdr:twoCellAnchor>
  <xdr:twoCellAnchor editAs="oneCell">
    <xdr:from>
      <xdr:col>1</xdr:col>
      <xdr:colOff>115052</xdr:colOff>
      <xdr:row>20</xdr:row>
      <xdr:rowOff>22410</xdr:rowOff>
    </xdr:from>
    <xdr:to>
      <xdr:col>1</xdr:col>
      <xdr:colOff>511941</xdr:colOff>
      <xdr:row>22</xdr:row>
      <xdr:rowOff>136062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7CBE993-E2F7-4B49-98A5-0C7069656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40" r="35079"/>
        <a:stretch/>
      </xdr:blipFill>
      <xdr:spPr>
        <a:xfrm>
          <a:off x="720170" y="4403910"/>
          <a:ext cx="393079" cy="62934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13</xdr:row>
      <xdr:rowOff>78441</xdr:rowOff>
    </xdr:from>
    <xdr:to>
      <xdr:col>1</xdr:col>
      <xdr:colOff>612017</xdr:colOff>
      <xdr:row>14</xdr:row>
      <xdr:rowOff>307951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735D84B-E96D-4934-9EDB-286BB2EA5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42" t="4626" r="16138" b="4386"/>
        <a:stretch/>
      </xdr:blipFill>
      <xdr:spPr>
        <a:xfrm>
          <a:off x="672353" y="3675529"/>
          <a:ext cx="555988" cy="554481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15</xdr:row>
      <xdr:rowOff>56029</xdr:rowOff>
    </xdr:from>
    <xdr:to>
      <xdr:col>1</xdr:col>
      <xdr:colOff>625850</xdr:colOff>
      <xdr:row>16</xdr:row>
      <xdr:rowOff>284739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0862E6D-AB5E-4AD6-9490-30C5D83F0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72" t="3794" r="16675" b="4544"/>
        <a:stretch/>
      </xdr:blipFill>
      <xdr:spPr>
        <a:xfrm>
          <a:off x="683559" y="4303058"/>
          <a:ext cx="552900" cy="5689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35624</xdr:colOff>
      <xdr:row>0</xdr:row>
      <xdr:rowOff>61293</xdr:rowOff>
    </xdr:from>
    <xdr:ext cx="518358" cy="414664"/>
    <xdr:pic>
      <xdr:nvPicPr>
        <xdr:cNvPr id="2" name="Рисунок 1">
          <a:extLst>
            <a:ext uri="{FF2B5EF4-FFF2-40B4-BE49-F238E27FC236}">
              <a16:creationId xmlns:a16="http://schemas.microsoft.com/office/drawing/2014/main" id="{83CE54EE-2808-41FC-B5D5-DB785BE22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4" y="61293"/>
          <a:ext cx="518358" cy="414664"/>
        </a:xfrm>
        <a:prstGeom prst="rect">
          <a:avLst/>
        </a:prstGeom>
      </xdr:spPr>
    </xdr:pic>
    <xdr:clientData/>
  </xdr:oneCellAnchor>
  <xdr:twoCellAnchor editAs="oneCell">
    <xdr:from>
      <xdr:col>1</xdr:col>
      <xdr:colOff>132564</xdr:colOff>
      <xdr:row>7</xdr:row>
      <xdr:rowOff>98611</xdr:rowOff>
    </xdr:from>
    <xdr:to>
      <xdr:col>1</xdr:col>
      <xdr:colOff>743286</xdr:colOff>
      <xdr:row>9</xdr:row>
      <xdr:rowOff>94464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A44AB354-BB61-43A4-A579-D4D3CA046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8" r="10880"/>
        <a:stretch/>
      </xdr:blipFill>
      <xdr:spPr>
        <a:xfrm>
          <a:off x="715270" y="1470211"/>
          <a:ext cx="603102" cy="441399"/>
        </a:xfrm>
        <a:prstGeom prst="rect">
          <a:avLst/>
        </a:prstGeom>
      </xdr:spPr>
    </xdr:pic>
    <xdr:clientData/>
  </xdr:twoCellAnchor>
  <xdr:twoCellAnchor editAs="oneCell">
    <xdr:from>
      <xdr:col>1</xdr:col>
      <xdr:colOff>975246</xdr:colOff>
      <xdr:row>7</xdr:row>
      <xdr:rowOff>120351</xdr:rowOff>
    </xdr:from>
    <xdr:to>
      <xdr:col>1</xdr:col>
      <xdr:colOff>1543834</xdr:colOff>
      <xdr:row>9</xdr:row>
      <xdr:rowOff>93520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1D3F646B-CE8B-492D-A282-01472DFFB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49" r="13563"/>
        <a:stretch/>
      </xdr:blipFill>
      <xdr:spPr>
        <a:xfrm>
          <a:off x="1557952" y="1491951"/>
          <a:ext cx="557158" cy="418715"/>
        </a:xfrm>
        <a:prstGeom prst="rect">
          <a:avLst/>
        </a:prstGeom>
      </xdr:spPr>
    </xdr:pic>
    <xdr:clientData/>
  </xdr:twoCellAnchor>
  <xdr:twoCellAnchor editAs="oneCell">
    <xdr:from>
      <xdr:col>1</xdr:col>
      <xdr:colOff>109145</xdr:colOff>
      <xdr:row>10</xdr:row>
      <xdr:rowOff>78441</xdr:rowOff>
    </xdr:from>
    <xdr:to>
      <xdr:col>1</xdr:col>
      <xdr:colOff>706195</xdr:colOff>
      <xdr:row>12</xdr:row>
      <xdr:rowOff>175242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65391C30-D475-43EE-BCBC-F5EC30F78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39" y="2117912"/>
          <a:ext cx="585620" cy="545036"/>
        </a:xfrm>
        <a:prstGeom prst="rect">
          <a:avLst/>
        </a:prstGeom>
      </xdr:spPr>
    </xdr:pic>
    <xdr:clientData/>
  </xdr:twoCellAnchor>
  <xdr:twoCellAnchor editAs="oneCell">
    <xdr:from>
      <xdr:col>1</xdr:col>
      <xdr:colOff>737522</xdr:colOff>
      <xdr:row>10</xdr:row>
      <xdr:rowOff>25325</xdr:rowOff>
    </xdr:from>
    <xdr:to>
      <xdr:col>1</xdr:col>
      <xdr:colOff>1350420</xdr:colOff>
      <xdr:row>12</xdr:row>
      <xdr:rowOff>173580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5E134C8A-F69E-48AE-AF6D-3436BC154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816" y="2064796"/>
          <a:ext cx="607183" cy="602205"/>
        </a:xfrm>
        <a:prstGeom prst="rect">
          <a:avLst/>
        </a:prstGeom>
      </xdr:spPr>
    </xdr:pic>
    <xdr:clientData/>
  </xdr:twoCellAnchor>
  <xdr:twoCellAnchor editAs="oneCell">
    <xdr:from>
      <xdr:col>1</xdr:col>
      <xdr:colOff>1377670</xdr:colOff>
      <xdr:row>10</xdr:row>
      <xdr:rowOff>49608</xdr:rowOff>
    </xdr:from>
    <xdr:to>
      <xdr:col>1</xdr:col>
      <xdr:colOff>1921920</xdr:colOff>
      <xdr:row>12</xdr:row>
      <xdr:rowOff>168088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C90B7CA3-8077-41F3-84F6-9C2E8D1A0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964" y="2089079"/>
          <a:ext cx="538535" cy="566715"/>
        </a:xfrm>
        <a:prstGeom prst="rect">
          <a:avLst/>
        </a:prstGeom>
      </xdr:spPr>
    </xdr:pic>
    <xdr:clientData/>
  </xdr:twoCellAnchor>
  <xdr:twoCellAnchor editAs="oneCell">
    <xdr:from>
      <xdr:col>1</xdr:col>
      <xdr:colOff>1970188</xdr:colOff>
      <xdr:row>10</xdr:row>
      <xdr:rowOff>85837</xdr:rowOff>
    </xdr:from>
    <xdr:to>
      <xdr:col>1</xdr:col>
      <xdr:colOff>2456551</xdr:colOff>
      <xdr:row>12</xdr:row>
      <xdr:rowOff>168088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5BEA39B-4E6C-4123-B8B7-49F05BD0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482" y="2125308"/>
          <a:ext cx="486363" cy="530486"/>
        </a:xfrm>
        <a:prstGeom prst="rect">
          <a:avLst/>
        </a:prstGeom>
      </xdr:spPr>
    </xdr:pic>
    <xdr:clientData/>
  </xdr:twoCellAnchor>
  <xdr:twoCellAnchor editAs="oneCell">
    <xdr:from>
      <xdr:col>1</xdr:col>
      <xdr:colOff>136217</xdr:colOff>
      <xdr:row>16</xdr:row>
      <xdr:rowOff>107239</xdr:rowOff>
    </xdr:from>
    <xdr:to>
      <xdr:col>1</xdr:col>
      <xdr:colOff>650372</xdr:colOff>
      <xdr:row>18</xdr:row>
      <xdr:rowOff>133412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1B3DB5EF-8F9E-404D-8C58-525B65C63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511" y="2819063"/>
          <a:ext cx="514155" cy="461074"/>
        </a:xfrm>
        <a:prstGeom prst="rect">
          <a:avLst/>
        </a:prstGeom>
      </xdr:spPr>
    </xdr:pic>
    <xdr:clientData/>
  </xdr:twoCellAnchor>
  <xdr:twoCellAnchor editAs="oneCell">
    <xdr:from>
      <xdr:col>1</xdr:col>
      <xdr:colOff>690143</xdr:colOff>
      <xdr:row>16</xdr:row>
      <xdr:rowOff>64321</xdr:rowOff>
    </xdr:from>
    <xdr:to>
      <xdr:col>1</xdr:col>
      <xdr:colOff>1216735</xdr:colOff>
      <xdr:row>18</xdr:row>
      <xdr:rowOff>130630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37D8EE61-1F5E-47C9-99EF-9AB01CC8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437" y="2776145"/>
          <a:ext cx="526592" cy="506925"/>
        </a:xfrm>
        <a:prstGeom prst="rect">
          <a:avLst/>
        </a:prstGeom>
      </xdr:spPr>
    </xdr:pic>
    <xdr:clientData/>
  </xdr:twoCellAnchor>
  <xdr:twoCellAnchor editAs="oneCell">
    <xdr:from>
      <xdr:col>1</xdr:col>
      <xdr:colOff>118445</xdr:colOff>
      <xdr:row>19</xdr:row>
      <xdr:rowOff>112731</xdr:rowOff>
    </xdr:from>
    <xdr:to>
      <xdr:col>1</xdr:col>
      <xdr:colOff>797859</xdr:colOff>
      <xdr:row>21</xdr:row>
      <xdr:rowOff>93344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3E869FA-BBEF-4DD5-BC0A-A693F3E8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151" y="3420707"/>
          <a:ext cx="679414" cy="418539"/>
        </a:xfrm>
        <a:prstGeom prst="rect">
          <a:avLst/>
        </a:prstGeom>
      </xdr:spPr>
    </xdr:pic>
    <xdr:clientData/>
  </xdr:twoCellAnchor>
  <xdr:twoCellAnchor editAs="oneCell">
    <xdr:from>
      <xdr:col>1</xdr:col>
      <xdr:colOff>933739</xdr:colOff>
      <xdr:row>19</xdr:row>
      <xdr:rowOff>109483</xdr:rowOff>
    </xdr:from>
    <xdr:to>
      <xdr:col>1</xdr:col>
      <xdr:colOff>1580253</xdr:colOff>
      <xdr:row>21</xdr:row>
      <xdr:rowOff>97491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6F401A6-AE12-4CEB-9B0B-053CE3644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445" y="3417459"/>
          <a:ext cx="646514" cy="427839"/>
        </a:xfrm>
        <a:prstGeom prst="rect">
          <a:avLst/>
        </a:prstGeom>
      </xdr:spPr>
    </xdr:pic>
    <xdr:clientData/>
  </xdr:twoCellAnchor>
  <xdr:twoCellAnchor editAs="oneCell">
    <xdr:from>
      <xdr:col>1</xdr:col>
      <xdr:colOff>58447</xdr:colOff>
      <xdr:row>25</xdr:row>
      <xdr:rowOff>78106</xdr:rowOff>
    </xdr:from>
    <xdr:to>
      <xdr:col>1</xdr:col>
      <xdr:colOff>609039</xdr:colOff>
      <xdr:row>27</xdr:row>
      <xdr:rowOff>91841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D87E428F-0D36-4FB0-9FAF-4E8ECADD5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741" y="4134635"/>
          <a:ext cx="550592" cy="428129"/>
        </a:xfrm>
        <a:prstGeom prst="rect">
          <a:avLst/>
        </a:prstGeom>
      </xdr:spPr>
    </xdr:pic>
    <xdr:clientData/>
  </xdr:twoCellAnchor>
  <xdr:twoCellAnchor editAs="oneCell">
    <xdr:from>
      <xdr:col>1</xdr:col>
      <xdr:colOff>705830</xdr:colOff>
      <xdr:row>25</xdr:row>
      <xdr:rowOff>88078</xdr:rowOff>
    </xdr:from>
    <xdr:to>
      <xdr:col>1</xdr:col>
      <xdr:colOff>1276686</xdr:colOff>
      <xdr:row>27</xdr:row>
      <xdr:rowOff>115166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D7B4C09-EE5E-4C61-95FD-651B72162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124" y="4144607"/>
          <a:ext cx="557521" cy="452912"/>
        </a:xfrm>
        <a:prstGeom prst="rect">
          <a:avLst/>
        </a:prstGeom>
      </xdr:spPr>
    </xdr:pic>
    <xdr:clientData/>
  </xdr:twoCellAnchor>
  <xdr:twoCellAnchor editAs="oneCell">
    <xdr:from>
      <xdr:col>1</xdr:col>
      <xdr:colOff>93634</xdr:colOff>
      <xdr:row>31</xdr:row>
      <xdr:rowOff>82251</xdr:rowOff>
    </xdr:from>
    <xdr:to>
      <xdr:col>1</xdr:col>
      <xdr:colOff>703169</xdr:colOff>
      <xdr:row>33</xdr:row>
      <xdr:rowOff>96370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AE0787E6-400B-4F51-B603-C68284A05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928" y="4777516"/>
          <a:ext cx="619060" cy="436132"/>
        </a:xfrm>
        <a:prstGeom prst="rect">
          <a:avLst/>
        </a:prstGeom>
      </xdr:spPr>
    </xdr:pic>
    <xdr:clientData/>
  </xdr:twoCellAnchor>
  <xdr:twoCellAnchor editAs="oneCell">
    <xdr:from>
      <xdr:col>1</xdr:col>
      <xdr:colOff>822866</xdr:colOff>
      <xdr:row>31</xdr:row>
      <xdr:rowOff>60176</xdr:rowOff>
    </xdr:from>
    <xdr:to>
      <xdr:col>1</xdr:col>
      <xdr:colOff>1485899</xdr:colOff>
      <xdr:row>33</xdr:row>
      <xdr:rowOff>130791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EE40E727-BBB8-431F-8AEC-8ADF084C8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160" y="4755441"/>
          <a:ext cx="663033" cy="485008"/>
        </a:xfrm>
        <a:prstGeom prst="rect">
          <a:avLst/>
        </a:prstGeom>
      </xdr:spPr>
    </xdr:pic>
    <xdr:clientData/>
  </xdr:twoCellAnchor>
  <xdr:twoCellAnchor editAs="oneCell">
    <xdr:from>
      <xdr:col>1</xdr:col>
      <xdr:colOff>193414</xdr:colOff>
      <xdr:row>34</xdr:row>
      <xdr:rowOff>67907</xdr:rowOff>
    </xdr:from>
    <xdr:to>
      <xdr:col>1</xdr:col>
      <xdr:colOff>817133</xdr:colOff>
      <xdr:row>36</xdr:row>
      <xdr:rowOff>56589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8242DA6A-3186-4C21-9F76-65E8DC9A2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120" y="5258472"/>
          <a:ext cx="631339" cy="416298"/>
        </a:xfrm>
        <a:prstGeom prst="rect">
          <a:avLst/>
        </a:prstGeom>
      </xdr:spPr>
    </xdr:pic>
    <xdr:clientData/>
  </xdr:twoCellAnchor>
  <xdr:twoCellAnchor editAs="oneCell">
    <xdr:from>
      <xdr:col>1</xdr:col>
      <xdr:colOff>949763</xdr:colOff>
      <xdr:row>34</xdr:row>
      <xdr:rowOff>66562</xdr:rowOff>
    </xdr:from>
    <xdr:to>
      <xdr:col>1</xdr:col>
      <xdr:colOff>1639980</xdr:colOff>
      <xdr:row>36</xdr:row>
      <xdr:rowOff>56878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125D4D71-D785-4E1C-84E0-DD1524045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469" y="5257127"/>
          <a:ext cx="690217" cy="41793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37</xdr:row>
      <xdr:rowOff>75528</xdr:rowOff>
    </xdr:from>
    <xdr:to>
      <xdr:col>1</xdr:col>
      <xdr:colOff>936700</xdr:colOff>
      <xdr:row>39</xdr:row>
      <xdr:rowOff>96818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90BF01BA-9B57-44A8-A79E-69A120AB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106" y="5884657"/>
          <a:ext cx="784300" cy="418427"/>
        </a:xfrm>
        <a:prstGeom prst="rect">
          <a:avLst/>
        </a:prstGeom>
      </xdr:spPr>
    </xdr:pic>
    <xdr:clientData/>
  </xdr:twoCellAnchor>
  <xdr:twoCellAnchor editAs="oneCell">
    <xdr:from>
      <xdr:col>1</xdr:col>
      <xdr:colOff>945956</xdr:colOff>
      <xdr:row>37</xdr:row>
      <xdr:rowOff>53789</xdr:rowOff>
    </xdr:from>
    <xdr:to>
      <xdr:col>1</xdr:col>
      <xdr:colOff>1654663</xdr:colOff>
      <xdr:row>39</xdr:row>
      <xdr:rowOff>114590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8097376-8350-45D9-8413-59E53A7D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662" y="5862918"/>
          <a:ext cx="716327" cy="473178"/>
        </a:xfrm>
        <a:prstGeom prst="rect">
          <a:avLst/>
        </a:prstGeom>
      </xdr:spPr>
    </xdr:pic>
    <xdr:clientData/>
  </xdr:twoCellAnchor>
  <xdr:twoCellAnchor editAs="oneCell">
    <xdr:from>
      <xdr:col>1</xdr:col>
      <xdr:colOff>894070</xdr:colOff>
      <xdr:row>43</xdr:row>
      <xdr:rowOff>94801</xdr:rowOff>
    </xdr:from>
    <xdr:to>
      <xdr:col>1</xdr:col>
      <xdr:colOff>1599527</xdr:colOff>
      <xdr:row>45</xdr:row>
      <xdr:rowOff>133860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C7EFEDCB-8E5E-45F9-A594-4F26EFCD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776" y="6522495"/>
          <a:ext cx="705457" cy="436197"/>
        </a:xfrm>
        <a:prstGeom prst="rect">
          <a:avLst/>
        </a:prstGeom>
      </xdr:spPr>
    </xdr:pic>
    <xdr:clientData/>
  </xdr:twoCellAnchor>
  <xdr:twoCellAnchor editAs="oneCell">
    <xdr:from>
      <xdr:col>1</xdr:col>
      <xdr:colOff>105672</xdr:colOff>
      <xdr:row>49</xdr:row>
      <xdr:rowOff>87740</xdr:rowOff>
    </xdr:from>
    <xdr:to>
      <xdr:col>1</xdr:col>
      <xdr:colOff>856017</xdr:colOff>
      <xdr:row>51</xdr:row>
      <xdr:rowOff>96481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2E84B61B-ED52-4D3C-92D9-2691A08F7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378" y="7133999"/>
          <a:ext cx="750345" cy="405877"/>
        </a:xfrm>
        <a:prstGeom prst="rect">
          <a:avLst/>
        </a:prstGeom>
      </xdr:spPr>
    </xdr:pic>
    <xdr:clientData/>
  </xdr:twoCellAnchor>
  <xdr:twoCellAnchor editAs="oneCell">
    <xdr:from>
      <xdr:col>1</xdr:col>
      <xdr:colOff>958730</xdr:colOff>
      <xdr:row>49</xdr:row>
      <xdr:rowOff>111386</xdr:rowOff>
    </xdr:from>
    <xdr:to>
      <xdr:col>1</xdr:col>
      <xdr:colOff>1579134</xdr:colOff>
      <xdr:row>51</xdr:row>
      <xdr:rowOff>79290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19E07B14-4B04-491A-A7A8-63F4E175E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436" y="7157645"/>
          <a:ext cx="628024" cy="380280"/>
        </a:xfrm>
        <a:prstGeom prst="rect">
          <a:avLst/>
        </a:prstGeom>
      </xdr:spPr>
    </xdr:pic>
    <xdr:clientData/>
  </xdr:twoCellAnchor>
  <xdr:twoCellAnchor editAs="oneCell">
    <xdr:from>
      <xdr:col>1</xdr:col>
      <xdr:colOff>93970</xdr:colOff>
      <xdr:row>55</xdr:row>
      <xdr:rowOff>98947</xdr:rowOff>
    </xdr:from>
    <xdr:to>
      <xdr:col>1</xdr:col>
      <xdr:colOff>550545</xdr:colOff>
      <xdr:row>57</xdr:row>
      <xdr:rowOff>93635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376C1366-EBCA-419C-8B3A-D6206BED3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264" y="7987888"/>
          <a:ext cx="469910" cy="433847"/>
        </a:xfrm>
        <a:prstGeom prst="rect">
          <a:avLst/>
        </a:prstGeom>
      </xdr:spPr>
    </xdr:pic>
    <xdr:clientData/>
  </xdr:twoCellAnchor>
  <xdr:twoCellAnchor editAs="oneCell">
    <xdr:from>
      <xdr:col>1</xdr:col>
      <xdr:colOff>646552</xdr:colOff>
      <xdr:row>55</xdr:row>
      <xdr:rowOff>64320</xdr:rowOff>
    </xdr:from>
    <xdr:to>
      <xdr:col>1</xdr:col>
      <xdr:colOff>1202720</xdr:colOff>
      <xdr:row>57</xdr:row>
      <xdr:rowOff>99030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16DAA4FE-D098-47E6-A7F7-244AB4596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846" y="7953261"/>
          <a:ext cx="567598" cy="468154"/>
        </a:xfrm>
        <a:prstGeom prst="rect">
          <a:avLst/>
        </a:prstGeom>
      </xdr:spPr>
    </xdr:pic>
    <xdr:clientData/>
  </xdr:twoCellAnchor>
  <xdr:twoCellAnchor editAs="oneCell">
    <xdr:from>
      <xdr:col>1</xdr:col>
      <xdr:colOff>96547</xdr:colOff>
      <xdr:row>58</xdr:row>
      <xdr:rowOff>77769</xdr:rowOff>
    </xdr:from>
    <xdr:to>
      <xdr:col>1</xdr:col>
      <xdr:colOff>664284</xdr:colOff>
      <xdr:row>60</xdr:row>
      <xdr:rowOff>135768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45ABE34-1828-4674-87B1-4D76F898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841" y="8605445"/>
          <a:ext cx="560117" cy="491442"/>
        </a:xfrm>
        <a:prstGeom prst="rect">
          <a:avLst/>
        </a:prstGeom>
      </xdr:spPr>
    </xdr:pic>
    <xdr:clientData/>
  </xdr:twoCellAnchor>
  <xdr:twoCellAnchor editAs="oneCell">
    <xdr:from>
      <xdr:col>1</xdr:col>
      <xdr:colOff>711769</xdr:colOff>
      <xdr:row>58</xdr:row>
      <xdr:rowOff>102421</xdr:rowOff>
    </xdr:from>
    <xdr:to>
      <xdr:col>1</xdr:col>
      <xdr:colOff>1317812</xdr:colOff>
      <xdr:row>60</xdr:row>
      <xdr:rowOff>129623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FF44CE51-DE3F-4614-8B68-E89FA0EA5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063" y="8630097"/>
          <a:ext cx="613663" cy="456835"/>
        </a:xfrm>
        <a:prstGeom prst="rect">
          <a:avLst/>
        </a:prstGeom>
      </xdr:spPr>
    </xdr:pic>
    <xdr:clientData/>
  </xdr:twoCellAnchor>
  <xdr:twoCellAnchor editAs="oneCell">
    <xdr:from>
      <xdr:col>1</xdr:col>
      <xdr:colOff>77944</xdr:colOff>
      <xdr:row>61</xdr:row>
      <xdr:rowOff>98275</xdr:rowOff>
    </xdr:from>
    <xdr:to>
      <xdr:col>1</xdr:col>
      <xdr:colOff>631154</xdr:colOff>
      <xdr:row>63</xdr:row>
      <xdr:rowOff>130661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2342179A-1DCA-4556-9C61-F694B98A9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8" y="9264687"/>
          <a:ext cx="557020" cy="462019"/>
        </a:xfrm>
        <a:prstGeom prst="rect">
          <a:avLst/>
        </a:prstGeom>
      </xdr:spPr>
    </xdr:pic>
    <xdr:clientData/>
  </xdr:twoCellAnchor>
  <xdr:twoCellAnchor editAs="oneCell">
    <xdr:from>
      <xdr:col>1</xdr:col>
      <xdr:colOff>698099</xdr:colOff>
      <xdr:row>61</xdr:row>
      <xdr:rowOff>107311</xdr:rowOff>
    </xdr:from>
    <xdr:to>
      <xdr:col>1</xdr:col>
      <xdr:colOff>1336637</xdr:colOff>
      <xdr:row>63</xdr:row>
      <xdr:rowOff>171674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AB7797BE-D093-4005-9190-4627F57F8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393" y="9273723"/>
          <a:ext cx="638538" cy="476851"/>
        </a:xfrm>
        <a:prstGeom prst="rect">
          <a:avLst/>
        </a:prstGeom>
      </xdr:spPr>
    </xdr:pic>
    <xdr:clientData/>
  </xdr:twoCellAnchor>
  <xdr:twoCellAnchor editAs="oneCell">
    <xdr:from>
      <xdr:col>1</xdr:col>
      <xdr:colOff>238237</xdr:colOff>
      <xdr:row>64</xdr:row>
      <xdr:rowOff>127995</xdr:rowOff>
    </xdr:from>
    <xdr:to>
      <xdr:col>1</xdr:col>
      <xdr:colOff>819598</xdr:colOff>
      <xdr:row>66</xdr:row>
      <xdr:rowOff>98163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CF94742F-4800-4D97-B72A-B78351BEA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943" y="9648513"/>
          <a:ext cx="573741" cy="382544"/>
        </a:xfrm>
        <a:prstGeom prst="rect">
          <a:avLst/>
        </a:prstGeom>
      </xdr:spPr>
    </xdr:pic>
    <xdr:clientData/>
  </xdr:twoCellAnchor>
  <xdr:twoCellAnchor editAs="oneCell">
    <xdr:from>
      <xdr:col>1</xdr:col>
      <xdr:colOff>997836</xdr:colOff>
      <xdr:row>64</xdr:row>
      <xdr:rowOff>139624</xdr:rowOff>
    </xdr:from>
    <xdr:to>
      <xdr:col>1</xdr:col>
      <xdr:colOff>1540024</xdr:colOff>
      <xdr:row>66</xdr:row>
      <xdr:rowOff>99013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58529401-710F-4010-8748-3BABD6627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542" y="9660142"/>
          <a:ext cx="536473" cy="377480"/>
        </a:xfrm>
        <a:prstGeom prst="rect">
          <a:avLst/>
        </a:prstGeom>
      </xdr:spPr>
    </xdr:pic>
    <xdr:clientData/>
  </xdr:twoCellAnchor>
  <xdr:twoCellAnchor editAs="oneCell">
    <xdr:from>
      <xdr:col>1</xdr:col>
      <xdr:colOff>113803</xdr:colOff>
      <xdr:row>70</xdr:row>
      <xdr:rowOff>98628</xdr:rowOff>
    </xdr:from>
    <xdr:to>
      <xdr:col>1</xdr:col>
      <xdr:colOff>684130</xdr:colOff>
      <xdr:row>72</xdr:row>
      <xdr:rowOff>130660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F9C59DF-A45F-4459-995F-47729E8C8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97" y="10542510"/>
          <a:ext cx="570327" cy="461665"/>
        </a:xfrm>
        <a:prstGeom prst="rect">
          <a:avLst/>
        </a:prstGeom>
      </xdr:spPr>
    </xdr:pic>
    <xdr:clientData/>
  </xdr:twoCellAnchor>
  <xdr:twoCellAnchor editAs="oneCell">
    <xdr:from>
      <xdr:col>1</xdr:col>
      <xdr:colOff>879634</xdr:colOff>
      <xdr:row>70</xdr:row>
      <xdr:rowOff>106007</xdr:rowOff>
    </xdr:from>
    <xdr:to>
      <xdr:col>1</xdr:col>
      <xdr:colOff>1387024</xdr:colOff>
      <xdr:row>72</xdr:row>
      <xdr:rowOff>130886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54322EB5-E47B-49E5-99CF-884C6EF4C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928" y="10549889"/>
          <a:ext cx="511200" cy="443082"/>
        </a:xfrm>
        <a:prstGeom prst="rect">
          <a:avLst/>
        </a:prstGeom>
      </xdr:spPr>
    </xdr:pic>
    <xdr:clientData/>
  </xdr:twoCellAnchor>
  <xdr:twoCellAnchor editAs="oneCell">
    <xdr:from>
      <xdr:col>1</xdr:col>
      <xdr:colOff>193412</xdr:colOff>
      <xdr:row>76</xdr:row>
      <xdr:rowOff>112730</xdr:rowOff>
    </xdr:from>
    <xdr:to>
      <xdr:col>1</xdr:col>
      <xdr:colOff>708210</xdr:colOff>
      <xdr:row>78</xdr:row>
      <xdr:rowOff>115865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44DA9AAE-9E44-4B94-96DC-B0597647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118" y="10870377"/>
          <a:ext cx="514798" cy="415513"/>
        </a:xfrm>
        <a:prstGeom prst="rect">
          <a:avLst/>
        </a:prstGeom>
      </xdr:spPr>
    </xdr:pic>
    <xdr:clientData/>
  </xdr:twoCellAnchor>
  <xdr:twoCellAnchor editAs="oneCell">
    <xdr:from>
      <xdr:col>1</xdr:col>
      <xdr:colOff>728896</xdr:colOff>
      <xdr:row>76</xdr:row>
      <xdr:rowOff>75528</xdr:rowOff>
    </xdr:from>
    <xdr:to>
      <xdr:col>1</xdr:col>
      <xdr:colOff>1274333</xdr:colOff>
      <xdr:row>78</xdr:row>
      <xdr:rowOff>76486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C7703A75-AC87-4059-AD39-446375D15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602" y="10833175"/>
          <a:ext cx="553057" cy="413336"/>
        </a:xfrm>
        <a:prstGeom prst="rect">
          <a:avLst/>
        </a:prstGeom>
      </xdr:spPr>
    </xdr:pic>
    <xdr:clientData/>
  </xdr:twoCellAnchor>
  <xdr:twoCellAnchor editAs="oneCell">
    <xdr:from>
      <xdr:col>1</xdr:col>
      <xdr:colOff>1334859</xdr:colOff>
      <xdr:row>76</xdr:row>
      <xdr:rowOff>112731</xdr:rowOff>
    </xdr:from>
    <xdr:to>
      <xdr:col>1</xdr:col>
      <xdr:colOff>1883933</xdr:colOff>
      <xdr:row>78</xdr:row>
      <xdr:rowOff>96049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85C958FE-3967-4C92-A2D4-B90EB758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565" y="10870378"/>
          <a:ext cx="556694" cy="395696"/>
        </a:xfrm>
        <a:prstGeom prst="rect">
          <a:avLst/>
        </a:prstGeom>
      </xdr:spPr>
    </xdr:pic>
    <xdr:clientData/>
  </xdr:twoCellAnchor>
  <xdr:twoCellAnchor editAs="oneCell">
    <xdr:from>
      <xdr:col>1</xdr:col>
      <xdr:colOff>1987661</xdr:colOff>
      <xdr:row>76</xdr:row>
      <xdr:rowOff>139145</xdr:rowOff>
    </xdr:from>
    <xdr:to>
      <xdr:col>1</xdr:col>
      <xdr:colOff>2529951</xdr:colOff>
      <xdr:row>78</xdr:row>
      <xdr:rowOff>95332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9BC3080A-4B65-4FAB-AC33-E960A65C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0367" y="10896792"/>
          <a:ext cx="532765" cy="353325"/>
        </a:xfrm>
        <a:prstGeom prst="rect">
          <a:avLst/>
        </a:prstGeom>
      </xdr:spPr>
    </xdr:pic>
    <xdr:clientData/>
  </xdr:twoCellAnchor>
  <xdr:twoCellAnchor editAs="oneCell">
    <xdr:from>
      <xdr:col>1</xdr:col>
      <xdr:colOff>159460</xdr:colOff>
      <xdr:row>82</xdr:row>
      <xdr:rowOff>80679</xdr:rowOff>
    </xdr:from>
    <xdr:to>
      <xdr:col>1</xdr:col>
      <xdr:colOff>707790</xdr:colOff>
      <xdr:row>84</xdr:row>
      <xdr:rowOff>136485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2CD8A9A2-71A3-4680-A6B4-41B057F9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166" y="11456891"/>
          <a:ext cx="557855" cy="460562"/>
        </a:xfrm>
        <a:prstGeom prst="rect">
          <a:avLst/>
        </a:prstGeom>
      </xdr:spPr>
    </xdr:pic>
    <xdr:clientData/>
  </xdr:twoCellAnchor>
  <xdr:twoCellAnchor editAs="oneCell">
    <xdr:from>
      <xdr:col>1</xdr:col>
      <xdr:colOff>718586</xdr:colOff>
      <xdr:row>82</xdr:row>
      <xdr:rowOff>91549</xdr:rowOff>
    </xdr:from>
    <xdr:to>
      <xdr:col>1</xdr:col>
      <xdr:colOff>1215486</xdr:colOff>
      <xdr:row>84</xdr:row>
      <xdr:rowOff>97441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A01B932A-61D9-47B7-B278-E9FC2D69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92" y="11467761"/>
          <a:ext cx="496900" cy="423983"/>
        </a:xfrm>
        <a:prstGeom prst="rect">
          <a:avLst/>
        </a:prstGeom>
      </xdr:spPr>
    </xdr:pic>
    <xdr:clientData/>
  </xdr:twoCellAnchor>
  <xdr:twoCellAnchor editAs="oneCell">
    <xdr:from>
      <xdr:col>1</xdr:col>
      <xdr:colOff>1268187</xdr:colOff>
      <xdr:row>82</xdr:row>
      <xdr:rowOff>103764</xdr:rowOff>
    </xdr:from>
    <xdr:to>
      <xdr:col>1</xdr:col>
      <xdr:colOff>1901615</xdr:colOff>
      <xdr:row>84</xdr:row>
      <xdr:rowOff>130902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4AFC1904-5B7D-455C-9736-21D2296D2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893" y="11479976"/>
          <a:ext cx="633428" cy="4337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2002798</xdr:colOff>
      <xdr:row>82</xdr:row>
      <xdr:rowOff>103765</xdr:rowOff>
    </xdr:from>
    <xdr:to>
      <xdr:col>1</xdr:col>
      <xdr:colOff>2569396</xdr:colOff>
      <xdr:row>84</xdr:row>
      <xdr:rowOff>137131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833B66C5-F39A-423C-87BE-89F6DB21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504" y="11479977"/>
          <a:ext cx="598983" cy="455267"/>
        </a:xfrm>
        <a:prstGeom prst="rect">
          <a:avLst/>
        </a:prstGeom>
      </xdr:spPr>
    </xdr:pic>
    <xdr:clientData/>
  </xdr:twoCellAnchor>
  <xdr:twoCellAnchor editAs="oneCell">
    <xdr:from>
      <xdr:col>1</xdr:col>
      <xdr:colOff>720846</xdr:colOff>
      <xdr:row>85</xdr:row>
      <xdr:rowOff>83597</xdr:rowOff>
    </xdr:from>
    <xdr:to>
      <xdr:col>1</xdr:col>
      <xdr:colOff>1275567</xdr:colOff>
      <xdr:row>87</xdr:row>
      <xdr:rowOff>97238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47DB0C2B-BE28-490F-A4C4-FD55BE00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40" y="12443685"/>
          <a:ext cx="558531" cy="447085"/>
        </a:xfrm>
        <a:prstGeom prst="rect">
          <a:avLst/>
        </a:prstGeom>
      </xdr:spPr>
    </xdr:pic>
    <xdr:clientData/>
  </xdr:twoCellAnchor>
  <xdr:twoCellAnchor editAs="oneCell">
    <xdr:from>
      <xdr:col>1</xdr:col>
      <xdr:colOff>461008</xdr:colOff>
      <xdr:row>90</xdr:row>
      <xdr:rowOff>92289</xdr:rowOff>
    </xdr:from>
    <xdr:to>
      <xdr:col>1</xdr:col>
      <xdr:colOff>1048870</xdr:colOff>
      <xdr:row>92</xdr:row>
      <xdr:rowOff>98610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ECB984D2-6FDE-4262-9194-31DC164CE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714" y="12705630"/>
          <a:ext cx="587862" cy="320646"/>
        </a:xfrm>
        <a:prstGeom prst="rect">
          <a:avLst/>
        </a:prstGeom>
      </xdr:spPr>
    </xdr:pic>
    <xdr:clientData/>
  </xdr:twoCellAnchor>
  <xdr:twoCellAnchor editAs="oneCell">
    <xdr:from>
      <xdr:col>1</xdr:col>
      <xdr:colOff>1643296</xdr:colOff>
      <xdr:row>90</xdr:row>
      <xdr:rowOff>64317</xdr:rowOff>
    </xdr:from>
    <xdr:to>
      <xdr:col>1</xdr:col>
      <xdr:colOff>2149625</xdr:colOff>
      <xdr:row>92</xdr:row>
      <xdr:rowOff>94306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C4239008-D9FC-477C-AF2F-F6F90E3E5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6002" y="12677658"/>
          <a:ext cx="496804" cy="3462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342564</xdr:colOff>
      <xdr:row>93</xdr:row>
      <xdr:rowOff>57597</xdr:rowOff>
    </xdr:from>
    <xdr:to>
      <xdr:col>1</xdr:col>
      <xdr:colOff>1046121</xdr:colOff>
      <xdr:row>93</xdr:row>
      <xdr:rowOff>510893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57DEEF2-7C5A-420C-9D39-5F207EE37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9" r="10571"/>
        <a:stretch/>
      </xdr:blipFill>
      <xdr:spPr>
        <a:xfrm>
          <a:off x="925270" y="13128138"/>
          <a:ext cx="711177" cy="453296"/>
        </a:xfrm>
        <a:prstGeom prst="rect">
          <a:avLst/>
        </a:prstGeom>
      </xdr:spPr>
    </xdr:pic>
    <xdr:clientData/>
  </xdr:twoCellAnchor>
  <xdr:twoCellAnchor editAs="oneCell">
    <xdr:from>
      <xdr:col>1</xdr:col>
      <xdr:colOff>1482847</xdr:colOff>
      <xdr:row>93</xdr:row>
      <xdr:rowOff>87047</xdr:rowOff>
    </xdr:from>
    <xdr:to>
      <xdr:col>1</xdr:col>
      <xdr:colOff>2454425</xdr:colOff>
      <xdr:row>93</xdr:row>
      <xdr:rowOff>550963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C61F90EE-660A-41D9-8FFC-894249FAB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4" t="2069" r="-6474" b="-2069"/>
        <a:stretch/>
      </xdr:blipFill>
      <xdr:spPr>
        <a:xfrm>
          <a:off x="2065553" y="13157588"/>
          <a:ext cx="965863" cy="463916"/>
        </a:xfrm>
        <a:prstGeom prst="rect">
          <a:avLst/>
        </a:prstGeom>
      </xdr:spPr>
    </xdr:pic>
    <xdr:clientData/>
  </xdr:twoCellAnchor>
  <xdr:twoCellAnchor editAs="oneCell">
    <xdr:from>
      <xdr:col>3</xdr:col>
      <xdr:colOff>233082</xdr:colOff>
      <xdr:row>97</xdr:row>
      <xdr:rowOff>62077</xdr:rowOff>
    </xdr:from>
    <xdr:to>
      <xdr:col>3</xdr:col>
      <xdr:colOff>726141</xdr:colOff>
      <xdr:row>97</xdr:row>
      <xdr:rowOff>683894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13A5FAC-81BE-43C9-BAD5-2FE699001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6494" y="14002195"/>
          <a:ext cx="493059" cy="621817"/>
        </a:xfrm>
        <a:prstGeom prst="rect">
          <a:avLst/>
        </a:prstGeom>
      </xdr:spPr>
    </xdr:pic>
    <xdr:clientData/>
  </xdr:twoCellAnchor>
  <xdr:twoCellAnchor editAs="oneCell">
    <xdr:from>
      <xdr:col>4</xdr:col>
      <xdr:colOff>114143</xdr:colOff>
      <xdr:row>97</xdr:row>
      <xdr:rowOff>66562</xdr:rowOff>
    </xdr:from>
    <xdr:to>
      <xdr:col>4</xdr:col>
      <xdr:colOff>663949</xdr:colOff>
      <xdr:row>97</xdr:row>
      <xdr:rowOff>666254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D18AD107-99E6-45D6-8231-D32A9BE8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484" y="14006680"/>
          <a:ext cx="540281" cy="614932"/>
        </a:xfrm>
        <a:prstGeom prst="rect">
          <a:avLst/>
        </a:prstGeom>
      </xdr:spPr>
    </xdr:pic>
    <xdr:clientData/>
  </xdr:twoCellAnchor>
  <xdr:twoCellAnchor editAs="oneCell">
    <xdr:from>
      <xdr:col>5</xdr:col>
      <xdr:colOff>508091</xdr:colOff>
      <xdr:row>97</xdr:row>
      <xdr:rowOff>57597</xdr:rowOff>
    </xdr:from>
    <xdr:to>
      <xdr:col>6</xdr:col>
      <xdr:colOff>192850</xdr:colOff>
      <xdr:row>97</xdr:row>
      <xdr:rowOff>707651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1FBDC18-A6A7-46A3-A547-77F0A387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3762" y="13997715"/>
          <a:ext cx="617089" cy="659579"/>
        </a:xfrm>
        <a:prstGeom prst="rect">
          <a:avLst/>
        </a:prstGeom>
      </xdr:spPr>
    </xdr:pic>
    <xdr:clientData/>
  </xdr:twoCellAnchor>
  <xdr:twoCellAnchor editAs="oneCell">
    <xdr:from>
      <xdr:col>6</xdr:col>
      <xdr:colOff>358448</xdr:colOff>
      <xdr:row>97</xdr:row>
      <xdr:rowOff>49352</xdr:rowOff>
    </xdr:from>
    <xdr:to>
      <xdr:col>6</xdr:col>
      <xdr:colOff>1048646</xdr:colOff>
      <xdr:row>97</xdr:row>
      <xdr:rowOff>701122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902F2DEB-79B7-4C07-9230-27260D6E7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6448" y="13989470"/>
          <a:ext cx="674958" cy="646055"/>
        </a:xfrm>
        <a:prstGeom prst="rect">
          <a:avLst/>
        </a:prstGeom>
      </xdr:spPr>
    </xdr:pic>
    <xdr:clientData/>
  </xdr:twoCellAnchor>
  <xdr:twoCellAnchor editAs="oneCell">
    <xdr:from>
      <xdr:col>1</xdr:col>
      <xdr:colOff>168424</xdr:colOff>
      <xdr:row>85</xdr:row>
      <xdr:rowOff>88486</xdr:rowOff>
    </xdr:from>
    <xdr:to>
      <xdr:col>1</xdr:col>
      <xdr:colOff>629209</xdr:colOff>
      <xdr:row>87</xdr:row>
      <xdr:rowOff>93681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1BB78EC8-E278-4820-98B1-491D6C085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18" y="12448574"/>
          <a:ext cx="451260" cy="444354"/>
        </a:xfrm>
        <a:prstGeom prst="rect">
          <a:avLst/>
        </a:prstGeom>
      </xdr:spPr>
    </xdr:pic>
    <xdr:clientData/>
  </xdr:twoCellAnchor>
  <xdr:twoCellAnchor editAs="oneCell">
    <xdr:from>
      <xdr:col>1</xdr:col>
      <xdr:colOff>159460</xdr:colOff>
      <xdr:row>43</xdr:row>
      <xdr:rowOff>94801</xdr:rowOff>
    </xdr:from>
    <xdr:to>
      <xdr:col>1</xdr:col>
      <xdr:colOff>859267</xdr:colOff>
      <xdr:row>45</xdr:row>
      <xdr:rowOff>98159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F303640E-62C2-49D7-BE47-51AB6CAAA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166" y="6522495"/>
          <a:ext cx="692187" cy="415736"/>
        </a:xfrm>
        <a:prstGeom prst="rect">
          <a:avLst/>
        </a:prstGeom>
      </xdr:spPr>
    </xdr:pic>
    <xdr:clientData/>
  </xdr:twoCellAnchor>
  <xdr:twoCellAnchor editAs="oneCell">
    <xdr:from>
      <xdr:col>1</xdr:col>
      <xdr:colOff>744374</xdr:colOff>
      <xdr:row>89</xdr:row>
      <xdr:rowOff>68700</xdr:rowOff>
    </xdr:from>
    <xdr:to>
      <xdr:col>1</xdr:col>
      <xdr:colOff>971059</xdr:colOff>
      <xdr:row>90</xdr:row>
      <xdr:rowOff>20786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2D696629-CEA6-4D92-A144-D75D91F42B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40" r="35079"/>
        <a:stretch/>
      </xdr:blipFill>
      <xdr:spPr>
        <a:xfrm>
          <a:off x="1327080" y="13392494"/>
          <a:ext cx="241925" cy="407493"/>
        </a:xfrm>
        <a:prstGeom prst="rect">
          <a:avLst/>
        </a:prstGeom>
      </xdr:spPr>
    </xdr:pic>
    <xdr:clientData/>
  </xdr:twoCellAnchor>
  <xdr:twoCellAnchor editAs="oneCell">
    <xdr:from>
      <xdr:col>1</xdr:col>
      <xdr:colOff>1635387</xdr:colOff>
      <xdr:row>88</xdr:row>
      <xdr:rowOff>11206</xdr:rowOff>
    </xdr:from>
    <xdr:to>
      <xdr:col>1</xdr:col>
      <xdr:colOff>1863683</xdr:colOff>
      <xdr:row>88</xdr:row>
      <xdr:rowOff>421782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857074C-F62F-49AD-B97C-49AB53DE9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73" r="36248"/>
        <a:stretch/>
      </xdr:blipFill>
      <xdr:spPr>
        <a:xfrm>
          <a:off x="2218093" y="12864353"/>
          <a:ext cx="228296" cy="410576"/>
        </a:xfrm>
        <a:prstGeom prst="rect">
          <a:avLst/>
        </a:prstGeom>
      </xdr:spPr>
    </xdr:pic>
    <xdr:clientData/>
  </xdr:twoCellAnchor>
  <xdr:twoCellAnchor editAs="oneCell">
    <xdr:from>
      <xdr:col>1</xdr:col>
      <xdr:colOff>720987</xdr:colOff>
      <xdr:row>88</xdr:row>
      <xdr:rowOff>26470</xdr:rowOff>
    </xdr:from>
    <xdr:to>
      <xdr:col>1</xdr:col>
      <xdr:colOff>986893</xdr:colOff>
      <xdr:row>88</xdr:row>
      <xdr:rowOff>434835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5EB0498F-E9F9-4E07-8AFC-0BBA1E9BEB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9" r="35400"/>
        <a:stretch/>
      </xdr:blipFill>
      <xdr:spPr>
        <a:xfrm>
          <a:off x="1303693" y="12879617"/>
          <a:ext cx="265906" cy="415985"/>
        </a:xfrm>
        <a:prstGeom prst="rect">
          <a:avLst/>
        </a:prstGeom>
      </xdr:spPr>
    </xdr:pic>
    <xdr:clientData/>
  </xdr:twoCellAnchor>
  <xdr:twoCellAnchor editAs="oneCell">
    <xdr:from>
      <xdr:col>1</xdr:col>
      <xdr:colOff>1636474</xdr:colOff>
      <xdr:row>89</xdr:row>
      <xdr:rowOff>71869</xdr:rowOff>
    </xdr:from>
    <xdr:to>
      <xdr:col>1</xdr:col>
      <xdr:colOff>1868878</xdr:colOff>
      <xdr:row>90</xdr:row>
      <xdr:rowOff>16473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FB418FE-A0FF-4758-86D2-7E0AD399D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36" r="35142"/>
        <a:stretch/>
      </xdr:blipFill>
      <xdr:spPr>
        <a:xfrm>
          <a:off x="2219180" y="13395663"/>
          <a:ext cx="232404" cy="409536"/>
        </a:xfrm>
        <a:prstGeom prst="rect">
          <a:avLst/>
        </a:prstGeom>
      </xdr:spPr>
    </xdr:pic>
    <xdr:clientData/>
  </xdr:twoCellAnchor>
  <xdr:twoCellAnchor editAs="oneCell">
    <xdr:from>
      <xdr:col>1</xdr:col>
      <xdr:colOff>1311087</xdr:colOff>
      <xdr:row>16</xdr:row>
      <xdr:rowOff>89647</xdr:rowOff>
    </xdr:from>
    <xdr:to>
      <xdr:col>1</xdr:col>
      <xdr:colOff>1772657</xdr:colOff>
      <xdr:row>18</xdr:row>
      <xdr:rowOff>172808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64F53B7-9EB2-483F-AF50-315F4A29D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1" y="2801471"/>
          <a:ext cx="448235" cy="51806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31</xdr:row>
      <xdr:rowOff>67235</xdr:rowOff>
    </xdr:from>
    <xdr:to>
      <xdr:col>1</xdr:col>
      <xdr:colOff>2112419</xdr:colOff>
      <xdr:row>33</xdr:row>
      <xdr:rowOff>136452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3EAD4938-025A-4E04-A34D-5BBB34EC0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084294" y="4762500"/>
          <a:ext cx="576989" cy="502660"/>
        </a:xfrm>
        <a:prstGeom prst="rect">
          <a:avLst/>
        </a:prstGeom>
      </xdr:spPr>
    </xdr:pic>
    <xdr:clientData/>
  </xdr:twoCellAnchor>
  <xdr:twoCellAnchor editAs="oneCell">
    <xdr:from>
      <xdr:col>1</xdr:col>
      <xdr:colOff>1299882</xdr:colOff>
      <xdr:row>55</xdr:row>
      <xdr:rowOff>100854</xdr:rowOff>
    </xdr:from>
    <xdr:to>
      <xdr:col>1</xdr:col>
      <xdr:colOff>1714500</xdr:colOff>
      <xdr:row>57</xdr:row>
      <xdr:rowOff>130661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66807A6A-F5A2-4372-8E37-3A2663539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176" y="7989795"/>
          <a:ext cx="414618" cy="459441"/>
        </a:xfrm>
        <a:prstGeom prst="rect">
          <a:avLst/>
        </a:prstGeom>
      </xdr:spPr>
    </xdr:pic>
    <xdr:clientData/>
  </xdr:twoCellAnchor>
  <xdr:twoCellAnchor editAs="oneCell">
    <xdr:from>
      <xdr:col>1</xdr:col>
      <xdr:colOff>1423147</xdr:colOff>
      <xdr:row>58</xdr:row>
      <xdr:rowOff>89647</xdr:rowOff>
    </xdr:from>
    <xdr:to>
      <xdr:col>1</xdr:col>
      <xdr:colOff>1925984</xdr:colOff>
      <xdr:row>60</xdr:row>
      <xdr:rowOff>135143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A42DDBED-E455-4893-8D31-0C4154E8C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83441" y="8617323"/>
          <a:ext cx="506647" cy="475129"/>
        </a:xfrm>
        <a:prstGeom prst="rect">
          <a:avLst/>
        </a:prstGeom>
      </xdr:spPr>
    </xdr:pic>
    <xdr:clientData/>
  </xdr:twoCellAnchor>
  <xdr:twoCellAnchor editAs="oneCell">
    <xdr:from>
      <xdr:col>1</xdr:col>
      <xdr:colOff>1423147</xdr:colOff>
      <xdr:row>61</xdr:row>
      <xdr:rowOff>44823</xdr:rowOff>
    </xdr:from>
    <xdr:to>
      <xdr:col>1</xdr:col>
      <xdr:colOff>1850874</xdr:colOff>
      <xdr:row>63</xdr:row>
      <xdr:rowOff>169996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47A9CC7E-C44A-43D6-8369-86D74A197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441" y="9211235"/>
          <a:ext cx="431537" cy="55480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1333500</xdr:colOff>
      <xdr:row>85</xdr:row>
      <xdr:rowOff>67236</xdr:rowOff>
    </xdr:from>
    <xdr:to>
      <xdr:col>1</xdr:col>
      <xdr:colOff>1807957</xdr:colOff>
      <xdr:row>87</xdr:row>
      <xdr:rowOff>134887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895E377-12ED-4E84-8F12-69DB7CA59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794" y="12427324"/>
          <a:ext cx="470647" cy="497285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593912</xdr:colOff>
      <xdr:row>13</xdr:row>
      <xdr:rowOff>44824</xdr:rowOff>
    </xdr:from>
    <xdr:to>
      <xdr:col>1</xdr:col>
      <xdr:colOff>1165411</xdr:colOff>
      <xdr:row>15</xdr:row>
      <xdr:rowOff>168088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A2678A49-56F2-47EE-90C4-0BAE3F87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887" y="2740399"/>
          <a:ext cx="571499" cy="561414"/>
        </a:xfrm>
        <a:prstGeom prst="rect">
          <a:avLst/>
        </a:prstGeom>
      </xdr:spPr>
    </xdr:pic>
    <xdr:clientData/>
  </xdr:twoCellAnchor>
  <xdr:twoCellAnchor editAs="oneCell">
    <xdr:from>
      <xdr:col>1</xdr:col>
      <xdr:colOff>1557617</xdr:colOff>
      <xdr:row>13</xdr:row>
      <xdr:rowOff>56029</xdr:rowOff>
    </xdr:from>
    <xdr:to>
      <xdr:col>1</xdr:col>
      <xdr:colOff>2173940</xdr:colOff>
      <xdr:row>15</xdr:row>
      <xdr:rowOff>168088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1C3390E5-2F80-4190-A687-3AAEAAF87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592" y="2751604"/>
          <a:ext cx="616323" cy="550209"/>
        </a:xfrm>
        <a:prstGeom prst="rect">
          <a:avLst/>
        </a:prstGeom>
      </xdr:spPr>
    </xdr:pic>
    <xdr:clientData/>
  </xdr:twoCellAnchor>
  <xdr:twoCellAnchor editAs="oneCell">
    <xdr:from>
      <xdr:col>1</xdr:col>
      <xdr:colOff>1053353</xdr:colOff>
      <xdr:row>13</xdr:row>
      <xdr:rowOff>33617</xdr:rowOff>
    </xdr:from>
    <xdr:to>
      <xdr:col>1</xdr:col>
      <xdr:colOff>1658471</xdr:colOff>
      <xdr:row>15</xdr:row>
      <xdr:rowOff>190500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F6003E7C-B4F0-4325-8EB2-CF52E193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328" y="2729192"/>
          <a:ext cx="605118" cy="595033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13</xdr:row>
      <xdr:rowOff>67235</xdr:rowOff>
    </xdr:from>
    <xdr:to>
      <xdr:col>1</xdr:col>
      <xdr:colOff>597497</xdr:colOff>
      <xdr:row>15</xdr:row>
      <xdr:rowOff>168088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B3111549-360E-415E-B3BD-4262DFD4D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81" y="2762810"/>
          <a:ext cx="593911" cy="539003"/>
        </a:xfrm>
        <a:prstGeom prst="rect">
          <a:avLst/>
        </a:prstGeom>
      </xdr:spPr>
    </xdr:pic>
    <xdr:clientData/>
  </xdr:twoCellAnchor>
  <xdr:twoCellAnchor editAs="oneCell">
    <xdr:from>
      <xdr:col>1</xdr:col>
      <xdr:colOff>918884</xdr:colOff>
      <xdr:row>22</xdr:row>
      <xdr:rowOff>11207</xdr:rowOff>
    </xdr:from>
    <xdr:to>
      <xdr:col>1</xdr:col>
      <xdr:colOff>1507079</xdr:colOff>
      <xdr:row>24</xdr:row>
      <xdr:rowOff>187188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DFA99C08-D510-46F4-86D8-85C622DF0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66" t="5767" r="22016"/>
        <a:stretch/>
      </xdr:blipFill>
      <xdr:spPr>
        <a:xfrm>
          <a:off x="1480859" y="4678457"/>
          <a:ext cx="593910" cy="6141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168087</xdr:colOff>
      <xdr:row>22</xdr:row>
      <xdr:rowOff>22412</xdr:rowOff>
    </xdr:from>
    <xdr:to>
      <xdr:col>1</xdr:col>
      <xdr:colOff>683558</xdr:colOff>
      <xdr:row>24</xdr:row>
      <xdr:rowOff>173579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C602932A-D125-41E1-81CB-59C8FC1176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19" r="24741"/>
        <a:stretch/>
      </xdr:blipFill>
      <xdr:spPr>
        <a:xfrm>
          <a:off x="730062" y="4689662"/>
          <a:ext cx="515471" cy="59503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28</xdr:row>
      <xdr:rowOff>57710</xdr:rowOff>
    </xdr:from>
    <xdr:to>
      <xdr:col>1</xdr:col>
      <xdr:colOff>974913</xdr:colOff>
      <xdr:row>30</xdr:row>
      <xdr:rowOff>189588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7B75AB1D-B9A0-4BFA-B254-CFE62A2CD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50" r="14035"/>
        <a:stretch/>
      </xdr:blipFill>
      <xdr:spPr>
        <a:xfrm>
          <a:off x="1133476" y="6010835"/>
          <a:ext cx="403412" cy="550978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1680882</xdr:colOff>
      <xdr:row>28</xdr:row>
      <xdr:rowOff>29136</xdr:rowOff>
    </xdr:from>
    <xdr:to>
      <xdr:col>1</xdr:col>
      <xdr:colOff>2151304</xdr:colOff>
      <xdr:row>30</xdr:row>
      <xdr:rowOff>174945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D7A6CDD-C79B-4ABB-BC74-B53E0EA7D2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05" r="14163"/>
        <a:stretch/>
      </xdr:blipFill>
      <xdr:spPr>
        <a:xfrm>
          <a:off x="2242857" y="5982261"/>
          <a:ext cx="481852" cy="564909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28</xdr:row>
      <xdr:rowOff>56029</xdr:rowOff>
    </xdr:from>
    <xdr:to>
      <xdr:col>1</xdr:col>
      <xdr:colOff>517152</xdr:colOff>
      <xdr:row>30</xdr:row>
      <xdr:rowOff>192232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74ABA9E5-926B-4271-BA44-BF330BC8E0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4" r="13154"/>
        <a:stretch/>
      </xdr:blipFill>
      <xdr:spPr>
        <a:xfrm>
          <a:off x="674034" y="6009154"/>
          <a:ext cx="414618" cy="555303"/>
        </a:xfrm>
        <a:prstGeom prst="rect">
          <a:avLst/>
        </a:prstGeom>
      </xdr:spPr>
    </xdr:pic>
    <xdr:clientData/>
  </xdr:twoCellAnchor>
  <xdr:twoCellAnchor editAs="oneCell">
    <xdr:from>
      <xdr:col>1</xdr:col>
      <xdr:colOff>1086970</xdr:colOff>
      <xdr:row>28</xdr:row>
      <xdr:rowOff>30863</xdr:rowOff>
    </xdr:from>
    <xdr:to>
      <xdr:col>1</xdr:col>
      <xdr:colOff>1580029</xdr:colOff>
      <xdr:row>30</xdr:row>
      <xdr:rowOff>173876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A1A61233-94C0-434E-BA7B-1CD0C7C81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83" r="14504"/>
        <a:stretch/>
      </xdr:blipFill>
      <xdr:spPr>
        <a:xfrm>
          <a:off x="1648945" y="5983988"/>
          <a:ext cx="493059" cy="567828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40</xdr:row>
      <xdr:rowOff>89646</xdr:rowOff>
    </xdr:from>
    <xdr:to>
      <xdr:col>1</xdr:col>
      <xdr:colOff>688362</xdr:colOff>
      <xdr:row>42</xdr:row>
      <xdr:rowOff>168088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E42FD23F-FBE8-403B-A307-A12EB71E34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2" r="5264"/>
        <a:stretch/>
      </xdr:blipFill>
      <xdr:spPr>
        <a:xfrm>
          <a:off x="674035" y="8557371"/>
          <a:ext cx="576302" cy="497542"/>
        </a:xfrm>
        <a:prstGeom prst="rect">
          <a:avLst/>
        </a:prstGeom>
      </xdr:spPr>
    </xdr:pic>
    <xdr:clientData/>
  </xdr:twoCellAnchor>
  <xdr:twoCellAnchor editAs="oneCell">
    <xdr:from>
      <xdr:col>1</xdr:col>
      <xdr:colOff>896469</xdr:colOff>
      <xdr:row>40</xdr:row>
      <xdr:rowOff>56030</xdr:rowOff>
    </xdr:from>
    <xdr:to>
      <xdr:col>1</xdr:col>
      <xdr:colOff>1374142</xdr:colOff>
      <xdr:row>42</xdr:row>
      <xdr:rowOff>168091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E17F8609-4000-4315-A389-92E5390266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2" r="5473"/>
        <a:stretch/>
      </xdr:blipFill>
      <xdr:spPr>
        <a:xfrm>
          <a:off x="1458444" y="8523755"/>
          <a:ext cx="477673" cy="531161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100851</xdr:colOff>
      <xdr:row>46</xdr:row>
      <xdr:rowOff>11206</xdr:rowOff>
    </xdr:from>
    <xdr:to>
      <xdr:col>1</xdr:col>
      <xdr:colOff>664732</xdr:colOff>
      <xdr:row>48</xdr:row>
      <xdr:rowOff>173579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C6262599-0D45-4C6E-8517-731EFD47E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26" y="9736231"/>
          <a:ext cx="571501" cy="587188"/>
        </a:xfrm>
        <a:prstGeom prst="rect">
          <a:avLst/>
        </a:prstGeom>
      </xdr:spPr>
    </xdr:pic>
    <xdr:clientData/>
  </xdr:twoCellAnchor>
  <xdr:twoCellAnchor editAs="oneCell">
    <xdr:from>
      <xdr:col>1</xdr:col>
      <xdr:colOff>829237</xdr:colOff>
      <xdr:row>46</xdr:row>
      <xdr:rowOff>56029</xdr:rowOff>
    </xdr:from>
    <xdr:to>
      <xdr:col>1</xdr:col>
      <xdr:colOff>1389307</xdr:colOff>
      <xdr:row>48</xdr:row>
      <xdr:rowOff>190500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810AA423-6F96-4AFF-B971-620C97183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12" y="9781054"/>
          <a:ext cx="571500" cy="553571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</xdr:row>
      <xdr:rowOff>33618</xdr:rowOff>
    </xdr:from>
    <xdr:to>
      <xdr:col>1</xdr:col>
      <xdr:colOff>593912</xdr:colOff>
      <xdr:row>54</xdr:row>
      <xdr:rowOff>173579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8F03F450-B58C-4765-8B9E-5B9785495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62" r="4126"/>
        <a:stretch/>
      </xdr:blipFill>
      <xdr:spPr>
        <a:xfrm>
          <a:off x="685240" y="11015943"/>
          <a:ext cx="470647" cy="56477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762001</xdr:colOff>
      <xdr:row>52</xdr:row>
      <xdr:rowOff>56029</xdr:rowOff>
    </xdr:from>
    <xdr:to>
      <xdr:col>1</xdr:col>
      <xdr:colOff>1240196</xdr:colOff>
      <xdr:row>54</xdr:row>
      <xdr:rowOff>168088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6EA7D472-32B6-47E0-98FE-313A8EB3B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4" r="4825"/>
        <a:stretch/>
      </xdr:blipFill>
      <xdr:spPr>
        <a:xfrm>
          <a:off x="1323976" y="11038354"/>
          <a:ext cx="483910" cy="531159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67</xdr:row>
      <xdr:rowOff>44823</xdr:rowOff>
    </xdr:from>
    <xdr:to>
      <xdr:col>1</xdr:col>
      <xdr:colOff>588421</xdr:colOff>
      <xdr:row>69</xdr:row>
      <xdr:rowOff>174267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FEBBDA25-5E3F-413B-A1A6-A45A3B9B1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83" r="5831"/>
        <a:stretch/>
      </xdr:blipFill>
      <xdr:spPr>
        <a:xfrm>
          <a:off x="662828" y="14170398"/>
          <a:ext cx="481853" cy="540924"/>
        </a:xfrm>
        <a:prstGeom prst="rect">
          <a:avLst/>
        </a:prstGeom>
      </xdr:spPr>
    </xdr:pic>
    <xdr:clientData/>
  </xdr:twoCellAnchor>
  <xdr:twoCellAnchor editAs="oneCell">
    <xdr:from>
      <xdr:col>1</xdr:col>
      <xdr:colOff>750794</xdr:colOff>
      <xdr:row>67</xdr:row>
      <xdr:rowOff>22412</xdr:rowOff>
    </xdr:from>
    <xdr:to>
      <xdr:col>1</xdr:col>
      <xdr:colOff>1277471</xdr:colOff>
      <xdr:row>69</xdr:row>
      <xdr:rowOff>191897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92A4AFF8-1903-43AC-8D9E-181736E351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4" r="6015"/>
        <a:stretch/>
      </xdr:blipFill>
      <xdr:spPr>
        <a:xfrm>
          <a:off x="1312769" y="14147987"/>
          <a:ext cx="526677" cy="588585"/>
        </a:xfrm>
        <a:prstGeom prst="rect">
          <a:avLst/>
        </a:prstGeom>
      </xdr:spPr>
    </xdr:pic>
    <xdr:clientData/>
  </xdr:twoCellAnchor>
  <xdr:twoCellAnchor editAs="oneCell">
    <xdr:from>
      <xdr:col>1</xdr:col>
      <xdr:colOff>56031</xdr:colOff>
      <xdr:row>73</xdr:row>
      <xdr:rowOff>44823</xdr:rowOff>
    </xdr:from>
    <xdr:to>
      <xdr:col>1</xdr:col>
      <xdr:colOff>536525</xdr:colOff>
      <xdr:row>75</xdr:row>
      <xdr:rowOff>164502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6BD7CCBA-BFEF-4ED0-81C4-6E052D18C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1" r="5648"/>
        <a:stretch/>
      </xdr:blipFill>
      <xdr:spPr>
        <a:xfrm>
          <a:off x="618006" y="15427698"/>
          <a:ext cx="480494" cy="531159"/>
        </a:xfrm>
        <a:prstGeom prst="rect">
          <a:avLst/>
        </a:prstGeom>
      </xdr:spPr>
    </xdr:pic>
    <xdr:clientData/>
  </xdr:twoCellAnchor>
  <xdr:twoCellAnchor editAs="oneCell">
    <xdr:from>
      <xdr:col>1</xdr:col>
      <xdr:colOff>627531</xdr:colOff>
      <xdr:row>73</xdr:row>
      <xdr:rowOff>44824</xdr:rowOff>
    </xdr:from>
    <xdr:to>
      <xdr:col>1</xdr:col>
      <xdr:colOff>1083524</xdr:colOff>
      <xdr:row>75</xdr:row>
      <xdr:rowOff>134470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6C910B8D-3931-4B12-ADDC-2D3661B9C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17" r="5621"/>
        <a:stretch/>
      </xdr:blipFill>
      <xdr:spPr>
        <a:xfrm>
          <a:off x="1189506" y="15427699"/>
          <a:ext cx="455993" cy="508746"/>
        </a:xfrm>
        <a:prstGeom prst="rect">
          <a:avLst/>
        </a:prstGeom>
      </xdr:spPr>
    </xdr:pic>
    <xdr:clientData/>
  </xdr:twoCellAnchor>
  <xdr:twoCellAnchor editAs="oneCell">
    <xdr:from>
      <xdr:col>1</xdr:col>
      <xdr:colOff>1165413</xdr:colOff>
      <xdr:row>73</xdr:row>
      <xdr:rowOff>56028</xdr:rowOff>
    </xdr:from>
    <xdr:to>
      <xdr:col>1</xdr:col>
      <xdr:colOff>1613130</xdr:colOff>
      <xdr:row>75</xdr:row>
      <xdr:rowOff>134693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2B298135-B9BB-4061-87C8-4350829F6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6" r="5626"/>
        <a:stretch/>
      </xdr:blipFill>
      <xdr:spPr>
        <a:xfrm>
          <a:off x="1727388" y="15438903"/>
          <a:ext cx="440097" cy="486335"/>
        </a:xfrm>
        <a:prstGeom prst="rect">
          <a:avLst/>
        </a:prstGeom>
      </xdr:spPr>
    </xdr:pic>
    <xdr:clientData/>
  </xdr:twoCellAnchor>
  <xdr:twoCellAnchor editAs="oneCell">
    <xdr:from>
      <xdr:col>1</xdr:col>
      <xdr:colOff>1725707</xdr:colOff>
      <xdr:row>73</xdr:row>
      <xdr:rowOff>78441</xdr:rowOff>
    </xdr:from>
    <xdr:to>
      <xdr:col>1</xdr:col>
      <xdr:colOff>2151531</xdr:colOff>
      <xdr:row>75</xdr:row>
      <xdr:rowOff>129591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A5FFC4C2-511C-4B6D-BE75-834EBCD192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96" r="5556"/>
        <a:stretch/>
      </xdr:blipFill>
      <xdr:spPr>
        <a:xfrm>
          <a:off x="2287682" y="15461316"/>
          <a:ext cx="425824" cy="477870"/>
        </a:xfrm>
        <a:prstGeom prst="rect">
          <a:avLst/>
        </a:prstGeom>
      </xdr:spPr>
    </xdr:pic>
    <xdr:clientData/>
  </xdr:twoCellAnchor>
  <xdr:twoCellAnchor editAs="oneCell">
    <xdr:from>
      <xdr:col>1</xdr:col>
      <xdr:colOff>67236</xdr:colOff>
      <xdr:row>79</xdr:row>
      <xdr:rowOff>44822</xdr:rowOff>
    </xdr:from>
    <xdr:to>
      <xdr:col>1</xdr:col>
      <xdr:colOff>512854</xdr:colOff>
      <xdr:row>81</xdr:row>
      <xdr:rowOff>168088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64B72FB9-4213-4012-AEC3-125B711AD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11" r="4811"/>
        <a:stretch/>
      </xdr:blipFill>
      <xdr:spPr>
        <a:xfrm>
          <a:off x="629211" y="16684997"/>
          <a:ext cx="445618" cy="542366"/>
        </a:xfrm>
        <a:prstGeom prst="rect">
          <a:avLst/>
        </a:prstGeom>
      </xdr:spPr>
    </xdr:pic>
    <xdr:clientData/>
  </xdr:twoCellAnchor>
  <xdr:twoCellAnchor editAs="oneCell">
    <xdr:from>
      <xdr:col>1</xdr:col>
      <xdr:colOff>605119</xdr:colOff>
      <xdr:row>79</xdr:row>
      <xdr:rowOff>33619</xdr:rowOff>
    </xdr:from>
    <xdr:to>
      <xdr:col>1</xdr:col>
      <xdr:colOff>1082780</xdr:colOff>
      <xdr:row>81</xdr:row>
      <xdr:rowOff>136152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320096A4-9F6C-4618-A293-56E2EFAA9D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98" r="5598"/>
        <a:stretch/>
      </xdr:blipFill>
      <xdr:spPr>
        <a:xfrm>
          <a:off x="1167094" y="16673794"/>
          <a:ext cx="477661" cy="531158"/>
        </a:xfrm>
        <a:prstGeom prst="rect">
          <a:avLst/>
        </a:prstGeom>
      </xdr:spPr>
    </xdr:pic>
    <xdr:clientData/>
  </xdr:twoCellAnchor>
  <xdr:twoCellAnchor editAs="oneCell">
    <xdr:from>
      <xdr:col>1</xdr:col>
      <xdr:colOff>1187825</xdr:colOff>
      <xdr:row>79</xdr:row>
      <xdr:rowOff>67235</xdr:rowOff>
    </xdr:from>
    <xdr:to>
      <xdr:col>1</xdr:col>
      <xdr:colOff>1617961</xdr:colOff>
      <xdr:row>81</xdr:row>
      <xdr:rowOff>136153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61CA45DD-B5BA-4DDD-912A-9214E0CF5D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5" r="6349"/>
        <a:stretch/>
      </xdr:blipFill>
      <xdr:spPr>
        <a:xfrm>
          <a:off x="1749800" y="16707410"/>
          <a:ext cx="441566" cy="497543"/>
        </a:xfrm>
        <a:prstGeom prst="rect">
          <a:avLst/>
        </a:prstGeom>
      </xdr:spPr>
    </xdr:pic>
    <xdr:clientData/>
  </xdr:twoCellAnchor>
  <xdr:twoCellAnchor editAs="oneCell">
    <xdr:from>
      <xdr:col>1</xdr:col>
      <xdr:colOff>1748118</xdr:colOff>
      <xdr:row>79</xdr:row>
      <xdr:rowOff>56030</xdr:rowOff>
    </xdr:from>
    <xdr:to>
      <xdr:col>1</xdr:col>
      <xdr:colOff>2192013</xdr:colOff>
      <xdr:row>81</xdr:row>
      <xdr:rowOff>134696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DA9260F6-62E9-41A5-93DA-A8A264226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9" r="5898"/>
        <a:stretch/>
      </xdr:blipFill>
      <xdr:spPr>
        <a:xfrm>
          <a:off x="2310093" y="16696205"/>
          <a:ext cx="436275" cy="4863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18358" cy="762000"/>
    <xdr:pic>
      <xdr:nvPicPr>
        <xdr:cNvPr id="85" name="Рисунок 84">
          <a:extLst>
            <a:ext uri="{FF2B5EF4-FFF2-40B4-BE49-F238E27FC236}">
              <a16:creationId xmlns:a16="http://schemas.microsoft.com/office/drawing/2014/main" id="{2D7BB4A6-A8AA-4BB9-BE70-D2574FC74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8358" cy="762000"/>
        </a:xfrm>
        <a:prstGeom prst="rect">
          <a:avLst/>
        </a:prstGeom>
      </xdr:spPr>
    </xdr:pic>
    <xdr:clientData/>
  </xdr:oneCellAnchor>
  <xdr:twoCellAnchor editAs="oneCell">
    <xdr:from>
      <xdr:col>2</xdr:col>
      <xdr:colOff>981474</xdr:colOff>
      <xdr:row>16</xdr:row>
      <xdr:rowOff>112620</xdr:rowOff>
    </xdr:from>
    <xdr:to>
      <xdr:col>2</xdr:col>
      <xdr:colOff>1606588</xdr:colOff>
      <xdr:row>18</xdr:row>
      <xdr:rowOff>132296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1D09292B-AC28-4C0E-999D-850BCB927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1662" y="3465420"/>
          <a:ext cx="623209" cy="428242"/>
        </a:xfrm>
        <a:prstGeom prst="rect">
          <a:avLst/>
        </a:prstGeom>
      </xdr:spPr>
    </xdr:pic>
    <xdr:clientData/>
  </xdr:twoCellAnchor>
  <xdr:twoCellAnchor editAs="oneCell">
    <xdr:from>
      <xdr:col>2</xdr:col>
      <xdr:colOff>944047</xdr:colOff>
      <xdr:row>13</xdr:row>
      <xdr:rowOff>54349</xdr:rowOff>
    </xdr:from>
    <xdr:to>
      <xdr:col>2</xdr:col>
      <xdr:colOff>1588657</xdr:colOff>
      <xdr:row>15</xdr:row>
      <xdr:rowOff>188259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3528F1A7-0D11-4C52-B1A0-EF0D0C888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4235" y="2788584"/>
          <a:ext cx="646515" cy="546287"/>
        </a:xfrm>
        <a:prstGeom prst="rect">
          <a:avLst/>
        </a:prstGeom>
      </xdr:spPr>
    </xdr:pic>
    <xdr:clientData/>
  </xdr:twoCellAnchor>
  <xdr:twoCellAnchor editAs="oneCell">
    <xdr:from>
      <xdr:col>2</xdr:col>
      <xdr:colOff>1738163</xdr:colOff>
      <xdr:row>13</xdr:row>
      <xdr:rowOff>65218</xdr:rowOff>
    </xdr:from>
    <xdr:to>
      <xdr:col>2</xdr:col>
      <xdr:colOff>2402541</xdr:colOff>
      <xdr:row>15</xdr:row>
      <xdr:rowOff>199128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924B002B-ED82-4A7A-8FEF-EB7C1FF93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8351" y="2799453"/>
          <a:ext cx="664378" cy="544382"/>
        </a:xfrm>
        <a:prstGeom prst="rect">
          <a:avLst/>
        </a:prstGeom>
      </xdr:spPr>
    </xdr:pic>
    <xdr:clientData/>
  </xdr:twoCellAnchor>
  <xdr:twoCellAnchor editAs="oneCell">
    <xdr:from>
      <xdr:col>2</xdr:col>
      <xdr:colOff>170329</xdr:colOff>
      <xdr:row>16</xdr:row>
      <xdr:rowOff>50774</xdr:rowOff>
    </xdr:from>
    <xdr:to>
      <xdr:col>2</xdr:col>
      <xdr:colOff>820944</xdr:colOff>
      <xdr:row>18</xdr:row>
      <xdr:rowOff>163270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C9DB33C2-6237-4AA2-9532-F2A04F4AF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517" y="3403574"/>
          <a:ext cx="654425" cy="522967"/>
        </a:xfrm>
        <a:prstGeom prst="rect">
          <a:avLst/>
        </a:prstGeom>
      </xdr:spPr>
    </xdr:pic>
    <xdr:clientData/>
  </xdr:twoCellAnchor>
  <xdr:twoCellAnchor editAs="oneCell">
    <xdr:from>
      <xdr:col>2</xdr:col>
      <xdr:colOff>195316</xdr:colOff>
      <xdr:row>7</xdr:row>
      <xdr:rowOff>15085</xdr:rowOff>
    </xdr:from>
    <xdr:to>
      <xdr:col>2</xdr:col>
      <xdr:colOff>808728</xdr:colOff>
      <xdr:row>9</xdr:row>
      <xdr:rowOff>130661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EC12F729-8C5A-4B49-8AA3-5B7CB0E3E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504" y="1512191"/>
          <a:ext cx="611507" cy="531762"/>
        </a:xfrm>
        <a:prstGeom prst="rect">
          <a:avLst/>
        </a:prstGeom>
      </xdr:spPr>
    </xdr:pic>
    <xdr:clientData/>
  </xdr:twoCellAnchor>
  <xdr:twoCellAnchor editAs="oneCell">
    <xdr:from>
      <xdr:col>2</xdr:col>
      <xdr:colOff>971502</xdr:colOff>
      <xdr:row>7</xdr:row>
      <xdr:rowOff>44823</xdr:rowOff>
    </xdr:from>
    <xdr:to>
      <xdr:col>2</xdr:col>
      <xdr:colOff>1651411</xdr:colOff>
      <xdr:row>9</xdr:row>
      <xdr:rowOff>163270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562DBB2E-E815-4243-9288-2A8E5DD8C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690" y="1541929"/>
          <a:ext cx="678004" cy="528918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10</xdr:row>
      <xdr:rowOff>23394</xdr:rowOff>
    </xdr:from>
    <xdr:to>
      <xdr:col>2</xdr:col>
      <xdr:colOff>763344</xdr:colOff>
      <xdr:row>13</xdr:row>
      <xdr:rowOff>10870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29ACD77-F961-407B-85C0-403AFEAC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968" y="2139065"/>
          <a:ext cx="618564" cy="604135"/>
        </a:xfrm>
        <a:prstGeom prst="rect">
          <a:avLst/>
        </a:prstGeom>
      </xdr:spPr>
    </xdr:pic>
    <xdr:clientData/>
  </xdr:twoCellAnchor>
  <xdr:twoCellAnchor editAs="oneCell">
    <xdr:from>
      <xdr:col>2</xdr:col>
      <xdr:colOff>922869</xdr:colOff>
      <xdr:row>10</xdr:row>
      <xdr:rowOff>62753</xdr:rowOff>
    </xdr:from>
    <xdr:to>
      <xdr:col>2</xdr:col>
      <xdr:colOff>1654661</xdr:colOff>
      <xdr:row>12</xdr:row>
      <xdr:rowOff>163270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CF8E733-F3A4-4882-9CD7-9DF3B9B0D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3057" y="2178424"/>
          <a:ext cx="735602" cy="510988"/>
        </a:xfrm>
        <a:prstGeom prst="rect">
          <a:avLst/>
        </a:prstGeom>
      </xdr:spPr>
    </xdr:pic>
    <xdr:clientData/>
  </xdr:twoCellAnchor>
  <xdr:twoCellAnchor editAs="oneCell">
    <xdr:from>
      <xdr:col>2</xdr:col>
      <xdr:colOff>213247</xdr:colOff>
      <xdr:row>13</xdr:row>
      <xdr:rowOff>36978</xdr:rowOff>
    </xdr:from>
    <xdr:to>
      <xdr:col>2</xdr:col>
      <xdr:colOff>848397</xdr:colOff>
      <xdr:row>15</xdr:row>
      <xdr:rowOff>141529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6C2F4F54-FE53-48CF-90EB-AA4C4E73B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435" y="2771213"/>
          <a:ext cx="633245" cy="518833"/>
        </a:xfrm>
        <a:prstGeom prst="rect">
          <a:avLst/>
        </a:prstGeom>
      </xdr:spPr>
    </xdr:pic>
    <xdr:clientData/>
  </xdr:twoCellAnchor>
  <xdr:twoCellAnchor editAs="oneCell">
    <xdr:from>
      <xdr:col>2</xdr:col>
      <xdr:colOff>116541</xdr:colOff>
      <xdr:row>19</xdr:row>
      <xdr:rowOff>112262</xdr:rowOff>
    </xdr:from>
    <xdr:to>
      <xdr:col>2</xdr:col>
      <xdr:colOff>704961</xdr:colOff>
      <xdr:row>21</xdr:row>
      <xdr:rowOff>117052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DAE1D9FA-E3B0-444C-A96F-9655B353A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729" y="4083627"/>
          <a:ext cx="592230" cy="417166"/>
        </a:xfrm>
        <a:prstGeom prst="rect">
          <a:avLst/>
        </a:prstGeom>
      </xdr:spPr>
    </xdr:pic>
    <xdr:clientData/>
  </xdr:twoCellAnchor>
  <xdr:twoCellAnchor editAs="oneCell">
    <xdr:from>
      <xdr:col>2</xdr:col>
      <xdr:colOff>815295</xdr:colOff>
      <xdr:row>19</xdr:row>
      <xdr:rowOff>83212</xdr:rowOff>
    </xdr:from>
    <xdr:to>
      <xdr:col>2</xdr:col>
      <xdr:colOff>1297320</xdr:colOff>
      <xdr:row>21</xdr:row>
      <xdr:rowOff>129669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FD88C124-9152-411A-9064-8C9283C6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483" y="4054577"/>
          <a:ext cx="482025" cy="462643"/>
        </a:xfrm>
        <a:prstGeom prst="rect">
          <a:avLst/>
        </a:prstGeom>
      </xdr:spPr>
    </xdr:pic>
    <xdr:clientData/>
  </xdr:twoCellAnchor>
  <xdr:twoCellAnchor editAs="oneCell">
    <xdr:from>
      <xdr:col>2</xdr:col>
      <xdr:colOff>1434709</xdr:colOff>
      <xdr:row>19</xdr:row>
      <xdr:rowOff>84556</xdr:rowOff>
    </xdr:from>
    <xdr:to>
      <xdr:col>2</xdr:col>
      <xdr:colOff>1883150</xdr:colOff>
      <xdr:row>21</xdr:row>
      <xdr:rowOff>99029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C1F24B86-BB41-4D74-A477-8F467B64C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897" y="4055921"/>
          <a:ext cx="444631" cy="423039"/>
        </a:xfrm>
        <a:prstGeom prst="rect">
          <a:avLst/>
        </a:prstGeom>
      </xdr:spPr>
    </xdr:pic>
    <xdr:clientData/>
  </xdr:twoCellAnchor>
  <xdr:twoCellAnchor editAs="oneCell">
    <xdr:from>
      <xdr:col>2</xdr:col>
      <xdr:colOff>2027928</xdr:colOff>
      <xdr:row>19</xdr:row>
      <xdr:rowOff>80682</xdr:rowOff>
    </xdr:from>
    <xdr:to>
      <xdr:col>2</xdr:col>
      <xdr:colOff>2492749</xdr:colOff>
      <xdr:row>21</xdr:row>
      <xdr:rowOff>135207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A518F83D-1F9F-4486-84BB-139C3D966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8116" y="4052047"/>
          <a:ext cx="461011" cy="463091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22</xdr:row>
      <xdr:rowOff>76832</xdr:rowOff>
    </xdr:from>
    <xdr:to>
      <xdr:col>2</xdr:col>
      <xdr:colOff>663389</xdr:colOff>
      <xdr:row>24</xdr:row>
      <xdr:rowOff>127150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57CBDAE8-DEA8-4673-9004-73DD0F048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659" y="4666761"/>
          <a:ext cx="532728" cy="460790"/>
        </a:xfrm>
        <a:prstGeom prst="rect">
          <a:avLst/>
        </a:prstGeom>
      </xdr:spPr>
    </xdr:pic>
    <xdr:clientData/>
  </xdr:twoCellAnchor>
  <xdr:twoCellAnchor editAs="oneCell">
    <xdr:from>
      <xdr:col>2</xdr:col>
      <xdr:colOff>800613</xdr:colOff>
      <xdr:row>22</xdr:row>
      <xdr:rowOff>75604</xdr:rowOff>
    </xdr:from>
    <xdr:to>
      <xdr:col>2</xdr:col>
      <xdr:colOff>1317252</xdr:colOff>
      <xdr:row>24</xdr:row>
      <xdr:rowOff>155454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2EEC10C6-1692-470B-B0E6-FC2CDAEBC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801" y="4665533"/>
          <a:ext cx="520449" cy="492227"/>
        </a:xfrm>
        <a:prstGeom prst="rect">
          <a:avLst/>
        </a:prstGeom>
      </xdr:spPr>
    </xdr:pic>
    <xdr:clientData/>
  </xdr:twoCellAnchor>
  <xdr:twoCellAnchor editAs="oneCell">
    <xdr:from>
      <xdr:col>2</xdr:col>
      <xdr:colOff>1440424</xdr:colOff>
      <xdr:row>22</xdr:row>
      <xdr:rowOff>62753</xdr:rowOff>
    </xdr:from>
    <xdr:to>
      <xdr:col>2</xdr:col>
      <xdr:colOff>1933128</xdr:colOff>
      <xdr:row>24</xdr:row>
      <xdr:rowOff>127056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D2DAB1E2-E1EE-4503-9E5F-A51D316BB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612" y="4652682"/>
          <a:ext cx="494609" cy="474775"/>
        </a:xfrm>
        <a:prstGeom prst="rect">
          <a:avLst/>
        </a:prstGeom>
      </xdr:spPr>
    </xdr:pic>
    <xdr:clientData/>
  </xdr:twoCellAnchor>
  <xdr:twoCellAnchor editAs="oneCell">
    <xdr:from>
      <xdr:col>2</xdr:col>
      <xdr:colOff>2036752</xdr:colOff>
      <xdr:row>22</xdr:row>
      <xdr:rowOff>86472</xdr:rowOff>
    </xdr:from>
    <xdr:to>
      <xdr:col>2</xdr:col>
      <xdr:colOff>2542727</xdr:colOff>
      <xdr:row>24</xdr:row>
      <xdr:rowOff>115803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7273BA3B-442C-4704-86A1-89C112097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940" y="4676401"/>
          <a:ext cx="507880" cy="441708"/>
        </a:xfrm>
        <a:prstGeom prst="rect">
          <a:avLst/>
        </a:prstGeom>
      </xdr:spPr>
    </xdr:pic>
    <xdr:clientData/>
  </xdr:twoCellAnchor>
  <xdr:twoCellAnchor editAs="oneCell">
    <xdr:from>
      <xdr:col>2</xdr:col>
      <xdr:colOff>125505</xdr:colOff>
      <xdr:row>25</xdr:row>
      <xdr:rowOff>35859</xdr:rowOff>
    </xdr:from>
    <xdr:to>
      <xdr:col>2</xdr:col>
      <xdr:colOff>663388</xdr:colOff>
      <xdr:row>27</xdr:row>
      <xdr:rowOff>104071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5E113DDD-4E0E-4C81-B33F-808BF824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693" y="5244353"/>
          <a:ext cx="534073" cy="482494"/>
        </a:xfrm>
        <a:prstGeom prst="rect">
          <a:avLst/>
        </a:prstGeom>
      </xdr:spPr>
    </xdr:pic>
    <xdr:clientData/>
  </xdr:twoCellAnchor>
  <xdr:twoCellAnchor editAs="oneCell">
    <xdr:from>
      <xdr:col>2</xdr:col>
      <xdr:colOff>790304</xdr:colOff>
      <xdr:row>25</xdr:row>
      <xdr:rowOff>52301</xdr:rowOff>
    </xdr:from>
    <xdr:to>
      <xdr:col>2</xdr:col>
      <xdr:colOff>1371346</xdr:colOff>
      <xdr:row>27</xdr:row>
      <xdr:rowOff>135850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35ED619E-ACAD-46DB-9252-7F2F2B74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0492" y="5260795"/>
          <a:ext cx="581042" cy="499736"/>
        </a:xfrm>
        <a:prstGeom prst="rect">
          <a:avLst/>
        </a:prstGeom>
      </xdr:spPr>
    </xdr:pic>
    <xdr:clientData/>
  </xdr:twoCellAnchor>
  <xdr:twoCellAnchor editAs="oneCell">
    <xdr:from>
      <xdr:col>2</xdr:col>
      <xdr:colOff>143436</xdr:colOff>
      <xdr:row>28</xdr:row>
      <xdr:rowOff>71717</xdr:rowOff>
    </xdr:from>
    <xdr:to>
      <xdr:col>2</xdr:col>
      <xdr:colOff>669104</xdr:colOff>
      <xdr:row>30</xdr:row>
      <xdr:rowOff>123622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57DC0142-3E83-4EA9-B758-838085799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624" y="5898776"/>
          <a:ext cx="529478" cy="462376"/>
        </a:xfrm>
        <a:prstGeom prst="rect">
          <a:avLst/>
        </a:prstGeom>
      </xdr:spPr>
    </xdr:pic>
    <xdr:clientData/>
  </xdr:twoCellAnchor>
  <xdr:twoCellAnchor editAs="oneCell">
    <xdr:from>
      <xdr:col>2</xdr:col>
      <xdr:colOff>806327</xdr:colOff>
      <xdr:row>28</xdr:row>
      <xdr:rowOff>93478</xdr:rowOff>
    </xdr:from>
    <xdr:to>
      <xdr:col>2</xdr:col>
      <xdr:colOff>1361532</xdr:colOff>
      <xdr:row>30</xdr:row>
      <xdr:rowOff>123623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1D1F47C5-723B-421B-822A-6E814DA21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515" y="5920537"/>
          <a:ext cx="557110" cy="440616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31</xdr:row>
      <xdr:rowOff>71718</xdr:rowOff>
    </xdr:from>
    <xdr:to>
      <xdr:col>2</xdr:col>
      <xdr:colOff>663388</xdr:colOff>
      <xdr:row>33</xdr:row>
      <xdr:rowOff>77434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109BB4F8-E59E-473C-8F9E-41AA0EF8A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588" y="6517342"/>
          <a:ext cx="514798" cy="418092"/>
        </a:xfrm>
        <a:prstGeom prst="rect">
          <a:avLst/>
        </a:prstGeom>
      </xdr:spPr>
    </xdr:pic>
    <xdr:clientData/>
  </xdr:twoCellAnchor>
  <xdr:twoCellAnchor editAs="oneCell">
    <xdr:from>
      <xdr:col>2</xdr:col>
      <xdr:colOff>804422</xdr:colOff>
      <xdr:row>31</xdr:row>
      <xdr:rowOff>97683</xdr:rowOff>
    </xdr:from>
    <xdr:to>
      <xdr:col>2</xdr:col>
      <xdr:colOff>1377875</xdr:colOff>
      <xdr:row>33</xdr:row>
      <xdr:rowOff>97335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2F899F3B-2F7F-4704-BBD2-F5ECEB468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4610" y="6543307"/>
          <a:ext cx="571548" cy="408218"/>
        </a:xfrm>
        <a:prstGeom prst="rect">
          <a:avLst/>
        </a:prstGeom>
      </xdr:spPr>
    </xdr:pic>
    <xdr:clientData/>
  </xdr:twoCellAnchor>
  <xdr:twoCellAnchor editAs="oneCell">
    <xdr:from>
      <xdr:col>2</xdr:col>
      <xdr:colOff>89647</xdr:colOff>
      <xdr:row>34</xdr:row>
      <xdr:rowOff>135754</xdr:rowOff>
    </xdr:from>
    <xdr:to>
      <xdr:col>2</xdr:col>
      <xdr:colOff>597385</xdr:colOff>
      <xdr:row>36</xdr:row>
      <xdr:rowOff>87906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295BAA9E-6103-4ED9-BE16-33C8A92A7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835" y="7199942"/>
          <a:ext cx="509643" cy="362624"/>
        </a:xfrm>
        <a:prstGeom prst="rect">
          <a:avLst/>
        </a:prstGeom>
      </xdr:spPr>
    </xdr:pic>
    <xdr:clientData/>
  </xdr:twoCellAnchor>
  <xdr:twoCellAnchor editAs="oneCell">
    <xdr:from>
      <xdr:col>2</xdr:col>
      <xdr:colOff>754445</xdr:colOff>
      <xdr:row>34</xdr:row>
      <xdr:rowOff>130171</xdr:rowOff>
    </xdr:from>
    <xdr:to>
      <xdr:col>2</xdr:col>
      <xdr:colOff>1285201</xdr:colOff>
      <xdr:row>36</xdr:row>
      <xdr:rowOff>101306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3DAF6622-B331-4729-B3DB-01C66686C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633" y="7194359"/>
          <a:ext cx="532661" cy="385417"/>
        </a:xfrm>
        <a:prstGeom prst="rect">
          <a:avLst/>
        </a:prstGeom>
      </xdr:spPr>
    </xdr:pic>
    <xdr:clientData/>
  </xdr:twoCellAnchor>
  <xdr:twoCellAnchor editAs="oneCell">
    <xdr:from>
      <xdr:col>2</xdr:col>
      <xdr:colOff>1398849</xdr:colOff>
      <xdr:row>34</xdr:row>
      <xdr:rowOff>112111</xdr:rowOff>
    </xdr:from>
    <xdr:to>
      <xdr:col>2</xdr:col>
      <xdr:colOff>1921074</xdr:colOff>
      <xdr:row>36</xdr:row>
      <xdr:rowOff>136670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A18F490E-2F0F-4728-BF0D-62900DC3E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037" y="7176299"/>
          <a:ext cx="518415" cy="440746"/>
        </a:xfrm>
        <a:prstGeom prst="rect">
          <a:avLst/>
        </a:prstGeom>
      </xdr:spPr>
    </xdr:pic>
    <xdr:clientData/>
  </xdr:twoCellAnchor>
  <xdr:twoCellAnchor editAs="oneCell">
    <xdr:from>
      <xdr:col>2</xdr:col>
      <xdr:colOff>2027788</xdr:colOff>
      <xdr:row>34</xdr:row>
      <xdr:rowOff>98612</xdr:rowOff>
    </xdr:from>
    <xdr:to>
      <xdr:col>2</xdr:col>
      <xdr:colOff>2565810</xdr:colOff>
      <xdr:row>36</xdr:row>
      <xdr:rowOff>135949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596B5D1E-628B-4DC3-8187-B7C1D3CFF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976" y="7162800"/>
          <a:ext cx="536117" cy="453524"/>
        </a:xfrm>
        <a:prstGeom prst="rect">
          <a:avLst/>
        </a:prstGeom>
      </xdr:spPr>
    </xdr:pic>
    <xdr:clientData/>
  </xdr:twoCellAnchor>
  <xdr:twoCellAnchor editAs="oneCell">
    <xdr:from>
      <xdr:col>2</xdr:col>
      <xdr:colOff>53789</xdr:colOff>
      <xdr:row>37</xdr:row>
      <xdr:rowOff>87184</xdr:rowOff>
    </xdr:from>
    <xdr:to>
      <xdr:col>2</xdr:col>
      <xdr:colOff>625626</xdr:colOff>
      <xdr:row>39</xdr:row>
      <xdr:rowOff>126179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7FF22DCC-64E3-4F58-A416-4358A6A0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977" y="7769937"/>
          <a:ext cx="568027" cy="449466"/>
        </a:xfrm>
        <a:prstGeom prst="rect">
          <a:avLst/>
        </a:prstGeom>
      </xdr:spPr>
    </xdr:pic>
    <xdr:clientData/>
  </xdr:twoCellAnchor>
  <xdr:twoCellAnchor editAs="oneCell">
    <xdr:from>
      <xdr:col>2</xdr:col>
      <xdr:colOff>740325</xdr:colOff>
      <xdr:row>37</xdr:row>
      <xdr:rowOff>85839</xdr:rowOff>
    </xdr:from>
    <xdr:to>
      <xdr:col>2</xdr:col>
      <xdr:colOff>1272917</xdr:colOff>
      <xdr:row>39</xdr:row>
      <xdr:rowOff>98789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D23CACEB-9282-4691-B48B-D4B54F06A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513" y="7768592"/>
          <a:ext cx="528782" cy="421516"/>
        </a:xfrm>
        <a:prstGeom prst="rect">
          <a:avLst/>
        </a:prstGeom>
      </xdr:spPr>
    </xdr:pic>
    <xdr:clientData/>
  </xdr:twoCellAnchor>
  <xdr:twoCellAnchor editAs="oneCell">
    <xdr:from>
      <xdr:col>2</xdr:col>
      <xdr:colOff>1383384</xdr:colOff>
      <xdr:row>37</xdr:row>
      <xdr:rowOff>62753</xdr:rowOff>
    </xdr:from>
    <xdr:to>
      <xdr:col>2</xdr:col>
      <xdr:colOff>1974986</xdr:colOff>
      <xdr:row>39</xdr:row>
      <xdr:rowOff>159702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466C430F-B448-43D3-8D69-1259D55D7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572" y="7745506"/>
          <a:ext cx="593507" cy="507420"/>
        </a:xfrm>
        <a:prstGeom prst="rect">
          <a:avLst/>
        </a:prstGeom>
      </xdr:spPr>
    </xdr:pic>
    <xdr:clientData/>
  </xdr:twoCellAnchor>
  <xdr:twoCellAnchor editAs="oneCell">
    <xdr:from>
      <xdr:col>2</xdr:col>
      <xdr:colOff>2036754</xdr:colOff>
      <xdr:row>37</xdr:row>
      <xdr:rowOff>85822</xdr:rowOff>
    </xdr:from>
    <xdr:to>
      <xdr:col>2</xdr:col>
      <xdr:colOff>2606042</xdr:colOff>
      <xdr:row>39</xdr:row>
      <xdr:rowOff>120322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8A37B8E9-F9DC-4C1E-A0B6-217E11924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942" y="7768575"/>
          <a:ext cx="565478" cy="444971"/>
        </a:xfrm>
        <a:prstGeom prst="rect">
          <a:avLst/>
        </a:prstGeom>
      </xdr:spPr>
    </xdr:pic>
    <xdr:clientData/>
  </xdr:twoCellAnchor>
  <xdr:oneCellAnchor>
    <xdr:from>
      <xdr:col>2</xdr:col>
      <xdr:colOff>125506</xdr:colOff>
      <xdr:row>40</xdr:row>
      <xdr:rowOff>66177</xdr:rowOff>
    </xdr:from>
    <xdr:ext cx="490129" cy="510390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3076A325-FB45-4A78-A012-42B595F08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4" r="6467"/>
        <a:stretch/>
      </xdr:blipFill>
      <xdr:spPr>
        <a:xfrm>
          <a:off x="1855694" y="8376459"/>
          <a:ext cx="490129" cy="510390"/>
        </a:xfrm>
        <a:prstGeom prst="rect">
          <a:avLst/>
        </a:prstGeom>
      </xdr:spPr>
    </xdr:pic>
    <xdr:clientData/>
  </xdr:oneCellAnchor>
  <xdr:oneCellAnchor>
    <xdr:from>
      <xdr:col>2</xdr:col>
      <xdr:colOff>719595</xdr:colOff>
      <xdr:row>40</xdr:row>
      <xdr:rowOff>68745</xdr:rowOff>
    </xdr:from>
    <xdr:ext cx="468358" cy="489317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A9DD9009-A999-4AD0-B0ED-CFBA703CB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59" r="6610"/>
        <a:stretch/>
      </xdr:blipFill>
      <xdr:spPr>
        <a:xfrm>
          <a:off x="2449783" y="8379027"/>
          <a:ext cx="468358" cy="489317"/>
        </a:xfrm>
        <a:prstGeom prst="rect">
          <a:avLst/>
        </a:prstGeom>
      </xdr:spPr>
    </xdr:pic>
    <xdr:clientData/>
  </xdr:oneCellAnchor>
  <xdr:oneCellAnchor>
    <xdr:from>
      <xdr:col>2</xdr:col>
      <xdr:colOff>1328107</xdr:colOff>
      <xdr:row>40</xdr:row>
      <xdr:rowOff>44824</xdr:rowOff>
    </xdr:from>
    <xdr:ext cx="534488" cy="540601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C74C6FDE-73CD-49FD-87FA-34EF4D7E5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84" r="6725"/>
        <a:stretch/>
      </xdr:blipFill>
      <xdr:spPr>
        <a:xfrm>
          <a:off x="3058295" y="8355106"/>
          <a:ext cx="534488" cy="540601"/>
        </a:xfrm>
        <a:prstGeom prst="rect">
          <a:avLst/>
        </a:prstGeom>
      </xdr:spPr>
    </xdr:pic>
    <xdr:clientData/>
  </xdr:oneCellAnchor>
  <xdr:oneCellAnchor>
    <xdr:from>
      <xdr:col>2</xdr:col>
      <xdr:colOff>2011186</xdr:colOff>
      <xdr:row>40</xdr:row>
      <xdr:rowOff>46855</xdr:rowOff>
    </xdr:from>
    <xdr:ext cx="522786" cy="516106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6E3ADD5C-D4CC-453F-84F4-07DC149B2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92" r="6768"/>
        <a:stretch/>
      </xdr:blipFill>
      <xdr:spPr>
        <a:xfrm>
          <a:off x="3741374" y="8357137"/>
          <a:ext cx="522786" cy="516106"/>
        </a:xfrm>
        <a:prstGeom prst="rect">
          <a:avLst/>
        </a:prstGeom>
      </xdr:spPr>
    </xdr:pic>
    <xdr:clientData/>
  </xdr:oneCellAnchor>
  <xdr:twoCellAnchor>
    <xdr:from>
      <xdr:col>2</xdr:col>
      <xdr:colOff>708264</xdr:colOff>
      <xdr:row>43</xdr:row>
      <xdr:rowOff>57284</xdr:rowOff>
    </xdr:from>
    <xdr:to>
      <xdr:col>2</xdr:col>
      <xdr:colOff>1236834</xdr:colOff>
      <xdr:row>45</xdr:row>
      <xdr:rowOff>98921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C93D7694-AD2D-4A02-AD13-D30BE2216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643" t="8618" r="18248" b="4389"/>
        <a:stretch/>
      </xdr:blipFill>
      <xdr:spPr>
        <a:xfrm>
          <a:off x="2438452" y="8986131"/>
          <a:ext cx="528570" cy="454014"/>
        </a:xfrm>
        <a:prstGeom prst="rect">
          <a:avLst/>
        </a:prstGeom>
      </xdr:spPr>
    </xdr:pic>
    <xdr:clientData/>
  </xdr:twoCellAnchor>
  <xdr:twoCellAnchor>
    <xdr:from>
      <xdr:col>2</xdr:col>
      <xdr:colOff>134471</xdr:colOff>
      <xdr:row>43</xdr:row>
      <xdr:rowOff>55455</xdr:rowOff>
    </xdr:from>
    <xdr:to>
      <xdr:col>2</xdr:col>
      <xdr:colOff>670661</xdr:colOff>
      <xdr:row>45</xdr:row>
      <xdr:rowOff>116683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D8060515-1171-4AE8-AF25-973BE999B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468" t="7433" r="18511" b="4010"/>
        <a:stretch/>
      </xdr:blipFill>
      <xdr:spPr>
        <a:xfrm>
          <a:off x="1864659" y="8984302"/>
          <a:ext cx="536190" cy="473605"/>
        </a:xfrm>
        <a:prstGeom prst="rect">
          <a:avLst/>
        </a:prstGeom>
      </xdr:spPr>
    </xdr:pic>
    <xdr:clientData/>
  </xdr:twoCellAnchor>
  <xdr:twoCellAnchor>
    <xdr:from>
      <xdr:col>2</xdr:col>
      <xdr:colOff>2036231</xdr:colOff>
      <xdr:row>43</xdr:row>
      <xdr:rowOff>57258</xdr:rowOff>
    </xdr:from>
    <xdr:to>
      <xdr:col>2</xdr:col>
      <xdr:colOff>2572421</xdr:colOff>
      <xdr:row>45</xdr:row>
      <xdr:rowOff>103074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1BF0688B-26A9-4854-B8A3-48B70A63B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073" t="7791" r="18914" b="3462"/>
        <a:stretch/>
      </xdr:blipFill>
      <xdr:spPr>
        <a:xfrm>
          <a:off x="3766419" y="8986105"/>
          <a:ext cx="536190" cy="458193"/>
        </a:xfrm>
        <a:prstGeom prst="rect">
          <a:avLst/>
        </a:prstGeom>
      </xdr:spPr>
    </xdr:pic>
    <xdr:clientData/>
  </xdr:twoCellAnchor>
  <xdr:twoCellAnchor>
    <xdr:from>
      <xdr:col>2</xdr:col>
      <xdr:colOff>1335539</xdr:colOff>
      <xdr:row>43</xdr:row>
      <xdr:rowOff>53789</xdr:rowOff>
    </xdr:from>
    <xdr:to>
      <xdr:col>2</xdr:col>
      <xdr:colOff>1879349</xdr:colOff>
      <xdr:row>45</xdr:row>
      <xdr:rowOff>96050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EF3C28A-9101-4E2F-867F-F687CBF34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320" t="7592" r="19388" b="4152"/>
        <a:stretch/>
      </xdr:blipFill>
      <xdr:spPr>
        <a:xfrm>
          <a:off x="3065727" y="8982636"/>
          <a:ext cx="543810" cy="454638"/>
        </a:xfrm>
        <a:prstGeom prst="rect">
          <a:avLst/>
        </a:prstGeom>
      </xdr:spPr>
    </xdr:pic>
    <xdr:clientData/>
  </xdr:twoCellAnchor>
  <xdr:twoCellAnchor>
    <xdr:from>
      <xdr:col>2</xdr:col>
      <xdr:colOff>697920</xdr:colOff>
      <xdr:row>46</xdr:row>
      <xdr:rowOff>71858</xdr:rowOff>
    </xdr:from>
    <xdr:to>
      <xdr:col>2</xdr:col>
      <xdr:colOff>1236015</xdr:colOff>
      <xdr:row>48</xdr:row>
      <xdr:rowOff>135552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B5902938-0FBF-4FE4-A84F-305480CF0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370" t="7818" r="18363" b="3400"/>
        <a:stretch/>
      </xdr:blipFill>
      <xdr:spPr>
        <a:xfrm>
          <a:off x="2428108" y="9619270"/>
          <a:ext cx="538095" cy="476070"/>
        </a:xfrm>
        <a:prstGeom prst="rect">
          <a:avLst/>
        </a:prstGeom>
      </xdr:spPr>
    </xdr:pic>
    <xdr:clientData/>
  </xdr:twoCellAnchor>
  <xdr:twoCellAnchor>
    <xdr:from>
      <xdr:col>2</xdr:col>
      <xdr:colOff>71718</xdr:colOff>
      <xdr:row>46</xdr:row>
      <xdr:rowOff>53789</xdr:rowOff>
    </xdr:from>
    <xdr:to>
      <xdr:col>2</xdr:col>
      <xdr:colOff>615528</xdr:colOff>
      <xdr:row>48</xdr:row>
      <xdr:rowOff>91824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852EC8BA-DB89-4137-B9BA-E33E042A3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0529" t="7564" r="19325" b="4067"/>
        <a:stretch/>
      </xdr:blipFill>
      <xdr:spPr>
        <a:xfrm>
          <a:off x="1801906" y="9601201"/>
          <a:ext cx="543810" cy="450411"/>
        </a:xfrm>
        <a:prstGeom prst="rect">
          <a:avLst/>
        </a:prstGeom>
      </xdr:spPr>
    </xdr:pic>
    <xdr:clientData/>
  </xdr:twoCellAnchor>
  <xdr:twoCellAnchor>
    <xdr:from>
      <xdr:col>2</xdr:col>
      <xdr:colOff>2070589</xdr:colOff>
      <xdr:row>46</xdr:row>
      <xdr:rowOff>93630</xdr:rowOff>
    </xdr:from>
    <xdr:to>
      <xdr:col>2</xdr:col>
      <xdr:colOff>2608684</xdr:colOff>
      <xdr:row>48</xdr:row>
      <xdr:rowOff>131863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D0CCC913-9A45-4791-A8DB-063DCA628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727" t="7145" r="18170" b="3750"/>
        <a:stretch/>
      </xdr:blipFill>
      <xdr:spPr>
        <a:xfrm>
          <a:off x="3800777" y="9641042"/>
          <a:ext cx="538095" cy="450609"/>
        </a:xfrm>
        <a:prstGeom prst="rect">
          <a:avLst/>
        </a:prstGeom>
      </xdr:spPr>
    </xdr:pic>
    <xdr:clientData/>
  </xdr:twoCellAnchor>
  <xdr:twoCellAnchor>
    <xdr:from>
      <xdr:col>2</xdr:col>
      <xdr:colOff>1366660</xdr:colOff>
      <xdr:row>46</xdr:row>
      <xdr:rowOff>90523</xdr:rowOff>
    </xdr:from>
    <xdr:to>
      <xdr:col>2</xdr:col>
      <xdr:colOff>1910470</xdr:colOff>
      <xdr:row>48</xdr:row>
      <xdr:rowOff>131500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ADD8AC3A-553E-4979-84FF-701989226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053" t="7669" r="17420" b="4206"/>
        <a:stretch/>
      </xdr:blipFill>
      <xdr:spPr>
        <a:xfrm>
          <a:off x="3096848" y="9637935"/>
          <a:ext cx="543810" cy="453353"/>
        </a:xfrm>
        <a:prstGeom prst="rect">
          <a:avLst/>
        </a:prstGeom>
      </xdr:spPr>
    </xdr:pic>
    <xdr:clientData/>
  </xdr:twoCellAnchor>
  <xdr:twoCellAnchor>
    <xdr:from>
      <xdr:col>2</xdr:col>
      <xdr:colOff>62753</xdr:colOff>
      <xdr:row>49</xdr:row>
      <xdr:rowOff>70530</xdr:rowOff>
    </xdr:from>
    <xdr:to>
      <xdr:col>2</xdr:col>
      <xdr:colOff>606563</xdr:colOff>
      <xdr:row>51</xdr:row>
      <xdr:rowOff>110842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6AB34004-B53B-441E-83CB-A2A609C11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428" t="8631" r="19054" b="4324"/>
        <a:stretch/>
      </xdr:blipFill>
      <xdr:spPr>
        <a:xfrm>
          <a:off x="1792941" y="10236506"/>
          <a:ext cx="543810" cy="452689"/>
        </a:xfrm>
        <a:prstGeom prst="rect">
          <a:avLst/>
        </a:prstGeom>
      </xdr:spPr>
    </xdr:pic>
    <xdr:clientData/>
  </xdr:twoCellAnchor>
  <xdr:twoCellAnchor>
    <xdr:from>
      <xdr:col>2</xdr:col>
      <xdr:colOff>2065341</xdr:colOff>
      <xdr:row>49</xdr:row>
      <xdr:rowOff>62753</xdr:rowOff>
    </xdr:from>
    <xdr:to>
      <xdr:col>2</xdr:col>
      <xdr:colOff>2599660</xdr:colOff>
      <xdr:row>51</xdr:row>
      <xdr:rowOff>104820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B88C94AE-D9CC-4B0D-BA3F-5118CAEDB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335" t="7643" r="19178" b="3961"/>
        <a:stretch/>
      </xdr:blipFill>
      <xdr:spPr>
        <a:xfrm>
          <a:off x="3795529" y="10228729"/>
          <a:ext cx="534319" cy="454444"/>
        </a:xfrm>
        <a:prstGeom prst="rect">
          <a:avLst/>
        </a:prstGeom>
      </xdr:spPr>
    </xdr:pic>
    <xdr:clientData/>
  </xdr:twoCellAnchor>
  <xdr:twoCellAnchor>
    <xdr:from>
      <xdr:col>2</xdr:col>
      <xdr:colOff>1380359</xdr:colOff>
      <xdr:row>49</xdr:row>
      <xdr:rowOff>71629</xdr:rowOff>
    </xdr:from>
    <xdr:to>
      <xdr:col>2</xdr:col>
      <xdr:colOff>1908929</xdr:colOff>
      <xdr:row>51</xdr:row>
      <xdr:rowOff>116536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5EE72EC0-6111-4F45-9F07-15A97626E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650" t="7820" r="19249" b="4395"/>
        <a:stretch/>
      </xdr:blipFill>
      <xdr:spPr>
        <a:xfrm>
          <a:off x="3110547" y="10237605"/>
          <a:ext cx="528570" cy="457284"/>
        </a:xfrm>
        <a:prstGeom prst="rect">
          <a:avLst/>
        </a:prstGeom>
      </xdr:spPr>
    </xdr:pic>
    <xdr:clientData/>
  </xdr:twoCellAnchor>
  <xdr:oneCellAnchor>
    <xdr:from>
      <xdr:col>2</xdr:col>
      <xdr:colOff>688422</xdr:colOff>
      <xdr:row>49</xdr:row>
      <xdr:rowOff>68002</xdr:rowOff>
    </xdr:from>
    <xdr:ext cx="528501" cy="538965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E198B117-3441-41FB-A2F8-44962DFA3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2" t="2268" r="5902" b="-2268"/>
        <a:stretch/>
      </xdr:blipFill>
      <xdr:spPr>
        <a:xfrm>
          <a:off x="2418610" y="10233978"/>
          <a:ext cx="528501" cy="538965"/>
        </a:xfrm>
        <a:prstGeom prst="rect">
          <a:avLst/>
        </a:prstGeom>
      </xdr:spPr>
    </xdr:pic>
    <xdr:clientData/>
  </xdr:oneCellAnchor>
  <xdr:twoCellAnchor>
    <xdr:from>
      <xdr:col>2</xdr:col>
      <xdr:colOff>708454</xdr:colOff>
      <xdr:row>52</xdr:row>
      <xdr:rowOff>80683</xdr:rowOff>
    </xdr:from>
    <xdr:to>
      <xdr:col>2</xdr:col>
      <xdr:colOff>1248454</xdr:colOff>
      <xdr:row>54</xdr:row>
      <xdr:rowOff>118218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8A6A6AC8-B23B-4FE8-B4C2-4823525AA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288" t="7921" r="18816" b="3499"/>
        <a:stretch/>
      </xdr:blipFill>
      <xdr:spPr>
        <a:xfrm rot="10800000" flipH="1">
          <a:off x="2438642" y="10865224"/>
          <a:ext cx="540000" cy="449912"/>
        </a:xfrm>
        <a:prstGeom prst="rect">
          <a:avLst/>
        </a:prstGeom>
      </xdr:spPr>
    </xdr:pic>
    <xdr:clientData/>
  </xdr:twoCellAnchor>
  <xdr:twoCellAnchor>
    <xdr:from>
      <xdr:col>2</xdr:col>
      <xdr:colOff>80682</xdr:colOff>
      <xdr:row>52</xdr:row>
      <xdr:rowOff>82463</xdr:rowOff>
    </xdr:from>
    <xdr:to>
      <xdr:col>2</xdr:col>
      <xdr:colOff>626397</xdr:colOff>
      <xdr:row>54</xdr:row>
      <xdr:rowOff>137266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262F4534-E1C0-4F30-AF9B-D6DF9ED020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925" t="8125" r="18445" b="3993"/>
        <a:stretch/>
      </xdr:blipFill>
      <xdr:spPr>
        <a:xfrm>
          <a:off x="1810870" y="10867004"/>
          <a:ext cx="545715" cy="467180"/>
        </a:xfrm>
        <a:prstGeom prst="rect">
          <a:avLst/>
        </a:prstGeom>
      </xdr:spPr>
    </xdr:pic>
    <xdr:clientData/>
  </xdr:twoCellAnchor>
  <xdr:twoCellAnchor>
    <xdr:from>
      <xdr:col>2</xdr:col>
      <xdr:colOff>2069663</xdr:colOff>
      <xdr:row>52</xdr:row>
      <xdr:rowOff>82848</xdr:rowOff>
    </xdr:from>
    <xdr:to>
      <xdr:col>2</xdr:col>
      <xdr:colOff>2609663</xdr:colOff>
      <xdr:row>54</xdr:row>
      <xdr:rowOff>123058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7B720847-479A-415A-B3A4-9285CCEA2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479" t="7845" r="19128" b="4381"/>
        <a:stretch/>
      </xdr:blipFill>
      <xdr:spPr>
        <a:xfrm>
          <a:off x="3799851" y="10867389"/>
          <a:ext cx="540000" cy="452587"/>
        </a:xfrm>
        <a:prstGeom prst="rect">
          <a:avLst/>
        </a:prstGeom>
      </xdr:spPr>
    </xdr:pic>
    <xdr:clientData/>
  </xdr:twoCellAnchor>
  <xdr:twoCellAnchor>
    <xdr:from>
      <xdr:col>2</xdr:col>
      <xdr:colOff>1392767</xdr:colOff>
      <xdr:row>52</xdr:row>
      <xdr:rowOff>81220</xdr:rowOff>
    </xdr:from>
    <xdr:to>
      <xdr:col>2</xdr:col>
      <xdr:colOff>1928957</xdr:colOff>
      <xdr:row>54</xdr:row>
      <xdr:rowOff>142448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767AF272-A17D-43A7-9DBC-45AA6B3EF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333" t="7414" r="18685" b="3660"/>
        <a:stretch/>
      </xdr:blipFill>
      <xdr:spPr>
        <a:xfrm>
          <a:off x="3122955" y="10865761"/>
          <a:ext cx="536190" cy="473605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55</xdr:row>
      <xdr:rowOff>71717</xdr:rowOff>
    </xdr:from>
    <xdr:to>
      <xdr:col>2</xdr:col>
      <xdr:colOff>618217</xdr:colOff>
      <xdr:row>57</xdr:row>
      <xdr:rowOff>132946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7851554A-719C-477C-AA38-00B510C31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714" t="6893" r="18453" b="2914"/>
        <a:stretch/>
      </xdr:blipFill>
      <xdr:spPr>
        <a:xfrm>
          <a:off x="1819835" y="11474823"/>
          <a:ext cx="528570" cy="473605"/>
        </a:xfrm>
        <a:prstGeom prst="rect">
          <a:avLst/>
        </a:prstGeom>
      </xdr:spPr>
    </xdr:pic>
    <xdr:clientData/>
  </xdr:twoCellAnchor>
  <xdr:twoCellAnchor>
    <xdr:from>
      <xdr:col>2</xdr:col>
      <xdr:colOff>695701</xdr:colOff>
      <xdr:row>55</xdr:row>
      <xdr:rowOff>73582</xdr:rowOff>
    </xdr:from>
    <xdr:to>
      <xdr:col>2</xdr:col>
      <xdr:colOff>1233796</xdr:colOff>
      <xdr:row>57</xdr:row>
      <xdr:rowOff>116483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EA5A8FA0-EF85-4F7D-BE3F-60C37A02AA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5" t="8217" r="19804" b="4158"/>
        <a:stretch/>
      </xdr:blipFill>
      <xdr:spPr>
        <a:xfrm>
          <a:off x="2425889" y="11476688"/>
          <a:ext cx="538095" cy="455277"/>
        </a:xfrm>
        <a:prstGeom prst="rect">
          <a:avLst/>
        </a:prstGeom>
      </xdr:spPr>
    </xdr:pic>
    <xdr:clientData/>
  </xdr:twoCellAnchor>
  <xdr:twoCellAnchor>
    <xdr:from>
      <xdr:col>2</xdr:col>
      <xdr:colOff>1386297</xdr:colOff>
      <xdr:row>55</xdr:row>
      <xdr:rowOff>76253</xdr:rowOff>
    </xdr:from>
    <xdr:to>
      <xdr:col>2</xdr:col>
      <xdr:colOff>1914867</xdr:colOff>
      <xdr:row>57</xdr:row>
      <xdr:rowOff>116046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4CE732AA-43FD-4D4E-AB1A-4CC849A1A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377" t="7761" r="19025" b="4521"/>
        <a:stretch/>
      </xdr:blipFill>
      <xdr:spPr>
        <a:xfrm>
          <a:off x="3116485" y="11479359"/>
          <a:ext cx="528570" cy="452169"/>
        </a:xfrm>
        <a:prstGeom prst="rect">
          <a:avLst/>
        </a:prstGeom>
      </xdr:spPr>
    </xdr:pic>
    <xdr:clientData/>
  </xdr:twoCellAnchor>
  <xdr:twoCellAnchor>
    <xdr:from>
      <xdr:col>2</xdr:col>
      <xdr:colOff>2069861</xdr:colOff>
      <xdr:row>55</xdr:row>
      <xdr:rowOff>75402</xdr:rowOff>
    </xdr:from>
    <xdr:to>
      <xdr:col>2</xdr:col>
      <xdr:colOff>2606051</xdr:colOff>
      <xdr:row>57</xdr:row>
      <xdr:rowOff>132411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89602473-E265-4D1E-BB4E-BD0513BA1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237" t="7693" r="20037" b="4744"/>
        <a:stretch/>
      </xdr:blipFill>
      <xdr:spPr>
        <a:xfrm>
          <a:off x="3800049" y="11478508"/>
          <a:ext cx="536190" cy="469385"/>
        </a:xfrm>
        <a:prstGeom prst="rect">
          <a:avLst/>
        </a:prstGeom>
      </xdr:spPr>
    </xdr:pic>
    <xdr:clientData/>
  </xdr:twoCellAnchor>
  <xdr:twoCellAnchor>
    <xdr:from>
      <xdr:col>2</xdr:col>
      <xdr:colOff>1427741</xdr:colOff>
      <xdr:row>58</xdr:row>
      <xdr:rowOff>59669</xdr:rowOff>
    </xdr:from>
    <xdr:to>
      <xdr:col>2</xdr:col>
      <xdr:colOff>1956311</xdr:colOff>
      <xdr:row>60</xdr:row>
      <xdr:rowOff>99461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91852343-E617-46D6-8957-608CDA351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626" t="8133" r="19062" b="3508"/>
        <a:stretch/>
      </xdr:blipFill>
      <xdr:spPr>
        <a:xfrm>
          <a:off x="3157929" y="12081340"/>
          <a:ext cx="528570" cy="452168"/>
        </a:xfrm>
        <a:prstGeom prst="rect">
          <a:avLst/>
        </a:prstGeom>
      </xdr:spPr>
    </xdr:pic>
    <xdr:clientData/>
  </xdr:twoCellAnchor>
  <xdr:twoCellAnchor>
    <xdr:from>
      <xdr:col>2</xdr:col>
      <xdr:colOff>2072529</xdr:colOff>
      <xdr:row>58</xdr:row>
      <xdr:rowOff>95190</xdr:rowOff>
    </xdr:from>
    <xdr:to>
      <xdr:col>2</xdr:col>
      <xdr:colOff>2603004</xdr:colOff>
      <xdr:row>60</xdr:row>
      <xdr:rowOff>99197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E06DD13A-3717-4461-99AD-C543973D4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17" t="7950" r="19724" b="4267"/>
        <a:stretch/>
      </xdr:blipFill>
      <xdr:spPr>
        <a:xfrm>
          <a:off x="3802717" y="12116861"/>
          <a:ext cx="530475" cy="416383"/>
        </a:xfrm>
        <a:prstGeom prst="rect">
          <a:avLst/>
        </a:prstGeom>
      </xdr:spPr>
    </xdr:pic>
    <xdr:clientData/>
  </xdr:twoCellAnchor>
  <xdr:twoCellAnchor>
    <xdr:from>
      <xdr:col>2</xdr:col>
      <xdr:colOff>738854</xdr:colOff>
      <xdr:row>58</xdr:row>
      <xdr:rowOff>53788</xdr:rowOff>
    </xdr:from>
    <xdr:to>
      <xdr:col>2</xdr:col>
      <xdr:colOff>1278854</xdr:colOff>
      <xdr:row>60</xdr:row>
      <xdr:rowOff>107349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42CAD55-F9EF-4D67-925F-B03DA65A5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0334" t="8144" r="19219" b="3233"/>
        <a:stretch/>
      </xdr:blipFill>
      <xdr:spPr>
        <a:xfrm>
          <a:off x="2469042" y="12075459"/>
          <a:ext cx="540000" cy="465937"/>
        </a:xfrm>
        <a:prstGeom prst="rect">
          <a:avLst/>
        </a:prstGeom>
      </xdr:spPr>
    </xdr:pic>
    <xdr:clientData/>
  </xdr:twoCellAnchor>
  <xdr:twoCellAnchor>
    <xdr:from>
      <xdr:col>2</xdr:col>
      <xdr:colOff>107576</xdr:colOff>
      <xdr:row>58</xdr:row>
      <xdr:rowOff>56750</xdr:rowOff>
    </xdr:from>
    <xdr:to>
      <xdr:col>2</xdr:col>
      <xdr:colOff>647576</xdr:colOff>
      <xdr:row>60</xdr:row>
      <xdr:rowOff>102103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5A95DD3B-4A72-4B57-A805-826038F7E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612" t="8784" r="19711" b="3001"/>
        <a:stretch/>
      </xdr:blipFill>
      <xdr:spPr>
        <a:xfrm>
          <a:off x="1837764" y="12078421"/>
          <a:ext cx="540000" cy="457729"/>
        </a:xfrm>
        <a:prstGeom prst="rect">
          <a:avLst/>
        </a:prstGeom>
      </xdr:spPr>
    </xdr:pic>
    <xdr:clientData/>
  </xdr:twoCellAnchor>
  <xdr:twoCellAnchor>
    <xdr:from>
      <xdr:col>2</xdr:col>
      <xdr:colOff>80682</xdr:colOff>
      <xdr:row>61</xdr:row>
      <xdr:rowOff>74672</xdr:rowOff>
    </xdr:from>
    <xdr:to>
      <xdr:col>2</xdr:col>
      <xdr:colOff>620682</xdr:colOff>
      <xdr:row>63</xdr:row>
      <xdr:rowOff>118275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19AA037D-849C-4607-A07B-C396C4FC4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624" t="8171" r="18555" b="3281"/>
        <a:stretch/>
      </xdr:blipFill>
      <xdr:spPr>
        <a:xfrm>
          <a:off x="1810870" y="12714907"/>
          <a:ext cx="540000" cy="455980"/>
        </a:xfrm>
        <a:prstGeom prst="rect">
          <a:avLst/>
        </a:prstGeom>
      </xdr:spPr>
    </xdr:pic>
    <xdr:clientData/>
  </xdr:twoCellAnchor>
  <xdr:twoCellAnchor>
    <xdr:from>
      <xdr:col>2</xdr:col>
      <xdr:colOff>740451</xdr:colOff>
      <xdr:row>61</xdr:row>
      <xdr:rowOff>72978</xdr:rowOff>
    </xdr:from>
    <xdr:to>
      <xdr:col>2</xdr:col>
      <xdr:colOff>1278546</xdr:colOff>
      <xdr:row>63</xdr:row>
      <xdr:rowOff>115454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5AAB569E-5341-4294-9500-B8E9EA06D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211" t="7238" r="19120" b="3726"/>
        <a:stretch/>
      </xdr:blipFill>
      <xdr:spPr>
        <a:xfrm>
          <a:off x="2470639" y="12713213"/>
          <a:ext cx="538095" cy="454853"/>
        </a:xfrm>
        <a:prstGeom prst="rect">
          <a:avLst/>
        </a:prstGeom>
      </xdr:spPr>
    </xdr:pic>
    <xdr:clientData/>
  </xdr:twoCellAnchor>
  <xdr:twoCellAnchor>
    <xdr:from>
      <xdr:col>2</xdr:col>
      <xdr:colOff>2062686</xdr:colOff>
      <xdr:row>61</xdr:row>
      <xdr:rowOff>89976</xdr:rowOff>
    </xdr:from>
    <xdr:to>
      <xdr:col>2</xdr:col>
      <xdr:colOff>2595066</xdr:colOff>
      <xdr:row>63</xdr:row>
      <xdr:rowOff>113214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7A836AAD-215A-44D0-9CB6-DA723C8FD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103" t="7973" r="19122" b="5146"/>
        <a:stretch/>
      </xdr:blipFill>
      <xdr:spPr>
        <a:xfrm>
          <a:off x="3792874" y="12730211"/>
          <a:ext cx="532380" cy="435615"/>
        </a:xfrm>
        <a:prstGeom prst="rect">
          <a:avLst/>
        </a:prstGeom>
      </xdr:spPr>
    </xdr:pic>
    <xdr:clientData/>
  </xdr:twoCellAnchor>
  <xdr:twoCellAnchor>
    <xdr:from>
      <xdr:col>2</xdr:col>
      <xdr:colOff>1416482</xdr:colOff>
      <xdr:row>61</xdr:row>
      <xdr:rowOff>71718</xdr:rowOff>
    </xdr:from>
    <xdr:to>
      <xdr:col>2</xdr:col>
      <xdr:colOff>1945052</xdr:colOff>
      <xdr:row>63</xdr:row>
      <xdr:rowOff>125242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57384049-060A-414C-9B32-E509B22FD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659" t="7430" r="19446" b="4382"/>
        <a:stretch/>
      </xdr:blipFill>
      <xdr:spPr>
        <a:xfrm>
          <a:off x="3146670" y="12711953"/>
          <a:ext cx="528570" cy="465901"/>
        </a:xfrm>
        <a:prstGeom prst="rect">
          <a:avLst/>
        </a:prstGeom>
      </xdr:spPr>
    </xdr:pic>
    <xdr:clientData/>
  </xdr:twoCellAnchor>
  <xdr:oneCellAnchor>
    <xdr:from>
      <xdr:col>2</xdr:col>
      <xdr:colOff>134471</xdr:colOff>
      <xdr:row>64</xdr:row>
      <xdr:rowOff>17929</xdr:rowOff>
    </xdr:from>
    <xdr:ext cx="539031" cy="565884"/>
    <xdr:pic>
      <xdr:nvPicPr>
        <xdr:cNvPr id="149" name="Рисунок 148">
          <a:extLst>
            <a:ext uri="{FF2B5EF4-FFF2-40B4-BE49-F238E27FC236}">
              <a16:creationId xmlns:a16="http://schemas.microsoft.com/office/drawing/2014/main" id="{57CE0857-40D3-4399-8322-84D8076D2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0" r="5052"/>
        <a:stretch/>
      </xdr:blipFill>
      <xdr:spPr>
        <a:xfrm>
          <a:off x="1864659" y="13276729"/>
          <a:ext cx="539031" cy="565884"/>
        </a:xfrm>
        <a:prstGeom prst="rect">
          <a:avLst/>
        </a:prstGeom>
      </xdr:spPr>
    </xdr:pic>
    <xdr:clientData/>
  </xdr:oneCellAnchor>
  <xdr:oneCellAnchor>
    <xdr:from>
      <xdr:col>2</xdr:col>
      <xdr:colOff>789827</xdr:colOff>
      <xdr:row>64</xdr:row>
      <xdr:rowOff>49733</xdr:rowOff>
    </xdr:from>
    <xdr:ext cx="497249" cy="534079"/>
    <xdr:pic>
      <xdr:nvPicPr>
        <xdr:cNvPr id="150" name="Рисунок 149">
          <a:extLst>
            <a:ext uri="{FF2B5EF4-FFF2-40B4-BE49-F238E27FC236}">
              <a16:creationId xmlns:a16="http://schemas.microsoft.com/office/drawing/2014/main" id="{73701619-2B29-4024-9BF4-EC43EFA28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34" r="4658"/>
        <a:stretch/>
      </xdr:blipFill>
      <xdr:spPr>
        <a:xfrm>
          <a:off x="2520015" y="13308533"/>
          <a:ext cx="497249" cy="534079"/>
        </a:xfrm>
        <a:prstGeom prst="rect">
          <a:avLst/>
        </a:prstGeom>
      </xdr:spPr>
    </xdr:pic>
    <xdr:clientData/>
  </xdr:oneCellAnchor>
  <xdr:twoCellAnchor>
    <xdr:from>
      <xdr:col>2</xdr:col>
      <xdr:colOff>753664</xdr:colOff>
      <xdr:row>67</xdr:row>
      <xdr:rowOff>62825</xdr:rowOff>
    </xdr:from>
    <xdr:to>
      <xdr:col>2</xdr:col>
      <xdr:colOff>1291759</xdr:colOff>
      <xdr:row>69</xdr:row>
      <xdr:rowOff>108114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5A3E5667-0814-42A0-9F7C-54657CD46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1880" t="8562" r="18895" b="3715"/>
        <a:stretch/>
      </xdr:blipFill>
      <xdr:spPr>
        <a:xfrm>
          <a:off x="2483852" y="13940190"/>
          <a:ext cx="538095" cy="457665"/>
        </a:xfrm>
        <a:prstGeom prst="rect">
          <a:avLst/>
        </a:prstGeom>
      </xdr:spPr>
    </xdr:pic>
    <xdr:clientData/>
  </xdr:twoCellAnchor>
  <xdr:twoCellAnchor>
    <xdr:from>
      <xdr:col>2</xdr:col>
      <xdr:colOff>107577</xdr:colOff>
      <xdr:row>67</xdr:row>
      <xdr:rowOff>44823</xdr:rowOff>
    </xdr:from>
    <xdr:to>
      <xdr:col>2</xdr:col>
      <xdr:colOff>639957</xdr:colOff>
      <xdr:row>69</xdr:row>
      <xdr:rowOff>99071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BDED77AD-6AB2-43FC-A012-1BE4BD049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141" t="8753" r="20204" b="4183"/>
        <a:stretch/>
      </xdr:blipFill>
      <xdr:spPr>
        <a:xfrm>
          <a:off x="1837765" y="13922188"/>
          <a:ext cx="532380" cy="466624"/>
        </a:xfrm>
        <a:prstGeom prst="rect">
          <a:avLst/>
        </a:prstGeom>
      </xdr:spPr>
    </xdr:pic>
    <xdr:clientData/>
  </xdr:twoCellAnchor>
  <xdr:twoCellAnchor>
    <xdr:from>
      <xdr:col>2</xdr:col>
      <xdr:colOff>2027473</xdr:colOff>
      <xdr:row>67</xdr:row>
      <xdr:rowOff>66499</xdr:rowOff>
    </xdr:from>
    <xdr:to>
      <xdr:col>2</xdr:col>
      <xdr:colOff>2573188</xdr:colOff>
      <xdr:row>69</xdr:row>
      <xdr:rowOff>80606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1480A1CA-1F35-4B74-ADFF-9E17A7B11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338" t="8556" r="20723" b="4053"/>
        <a:stretch/>
      </xdr:blipFill>
      <xdr:spPr>
        <a:xfrm>
          <a:off x="3757661" y="13943864"/>
          <a:ext cx="545715" cy="426483"/>
        </a:xfrm>
        <a:prstGeom prst="rect">
          <a:avLst/>
        </a:prstGeom>
      </xdr:spPr>
    </xdr:pic>
    <xdr:clientData/>
  </xdr:twoCellAnchor>
  <xdr:twoCellAnchor>
    <xdr:from>
      <xdr:col>2</xdr:col>
      <xdr:colOff>1402833</xdr:colOff>
      <xdr:row>67</xdr:row>
      <xdr:rowOff>66674</xdr:rowOff>
    </xdr:from>
    <xdr:to>
      <xdr:col>2</xdr:col>
      <xdr:colOff>1935213</xdr:colOff>
      <xdr:row>69</xdr:row>
      <xdr:rowOff>71374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360972B5-8C23-4B92-A2D7-76ED5556B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119" t="8676" r="19800" b="4534"/>
        <a:stretch/>
      </xdr:blipFill>
      <xdr:spPr>
        <a:xfrm>
          <a:off x="3133021" y="13944039"/>
          <a:ext cx="532380" cy="417076"/>
        </a:xfrm>
        <a:prstGeom prst="rect">
          <a:avLst/>
        </a:prstGeom>
      </xdr:spPr>
    </xdr:pic>
    <xdr:clientData/>
  </xdr:twoCellAnchor>
  <xdr:oneCellAnchor>
    <xdr:from>
      <xdr:col>2</xdr:col>
      <xdr:colOff>143435</xdr:colOff>
      <xdr:row>70</xdr:row>
      <xdr:rowOff>53788</xdr:rowOff>
    </xdr:from>
    <xdr:ext cx="542180" cy="512376"/>
    <xdr:pic>
      <xdr:nvPicPr>
        <xdr:cNvPr id="155" name="Рисунок 154">
          <a:extLst>
            <a:ext uri="{FF2B5EF4-FFF2-40B4-BE49-F238E27FC236}">
              <a16:creationId xmlns:a16="http://schemas.microsoft.com/office/drawing/2014/main" id="{2FE6C303-656D-483D-8D55-5A24F5881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3" r="5738"/>
        <a:stretch/>
      </xdr:blipFill>
      <xdr:spPr>
        <a:xfrm>
          <a:off x="1873623" y="14549717"/>
          <a:ext cx="542180" cy="512376"/>
        </a:xfrm>
        <a:prstGeom prst="rect">
          <a:avLst/>
        </a:prstGeom>
      </xdr:spPr>
    </xdr:pic>
    <xdr:clientData/>
  </xdr:oneCellAnchor>
  <xdr:oneCellAnchor>
    <xdr:from>
      <xdr:col>2</xdr:col>
      <xdr:colOff>821948</xdr:colOff>
      <xdr:row>70</xdr:row>
      <xdr:rowOff>70354</xdr:rowOff>
    </xdr:from>
    <xdr:ext cx="493146" cy="493907"/>
    <xdr:pic>
      <xdr:nvPicPr>
        <xdr:cNvPr id="156" name="Рисунок 155">
          <a:extLst>
            <a:ext uri="{FF2B5EF4-FFF2-40B4-BE49-F238E27FC236}">
              <a16:creationId xmlns:a16="http://schemas.microsoft.com/office/drawing/2014/main" id="{3750EA2E-3FF4-41A5-A4A3-3E064A3D0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9" r="6821"/>
        <a:stretch/>
      </xdr:blipFill>
      <xdr:spPr>
        <a:xfrm>
          <a:off x="2552136" y="14566283"/>
          <a:ext cx="493146" cy="493907"/>
        </a:xfrm>
        <a:prstGeom prst="rect">
          <a:avLst/>
        </a:prstGeom>
      </xdr:spPr>
    </xdr:pic>
    <xdr:clientData/>
  </xdr:oneCellAnchor>
  <xdr:twoCellAnchor>
    <xdr:from>
      <xdr:col>2</xdr:col>
      <xdr:colOff>2041458</xdr:colOff>
      <xdr:row>73</xdr:row>
      <xdr:rowOff>87293</xdr:rowOff>
    </xdr:from>
    <xdr:to>
      <xdr:col>2</xdr:col>
      <xdr:colOff>2571933</xdr:colOff>
      <xdr:row>75</xdr:row>
      <xdr:rowOff>130719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E8B32E43-0A9B-4D18-AC51-0E5630A7C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227" t="8834" r="21483" b="4263"/>
        <a:stretch/>
      </xdr:blipFill>
      <xdr:spPr>
        <a:xfrm>
          <a:off x="3771646" y="15201787"/>
          <a:ext cx="530475" cy="455803"/>
        </a:xfrm>
        <a:prstGeom prst="rect">
          <a:avLst/>
        </a:prstGeom>
      </xdr:spPr>
    </xdr:pic>
    <xdr:clientData/>
  </xdr:twoCellAnchor>
  <xdr:twoCellAnchor>
    <xdr:from>
      <xdr:col>2</xdr:col>
      <xdr:colOff>134471</xdr:colOff>
      <xdr:row>73</xdr:row>
      <xdr:rowOff>71718</xdr:rowOff>
    </xdr:from>
    <xdr:to>
      <xdr:col>2</xdr:col>
      <xdr:colOff>670661</xdr:colOff>
      <xdr:row>75</xdr:row>
      <xdr:rowOff>136756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92AD104C-9D19-4664-AF1C-6F73C907A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72" t="8889" r="21141" b="4601"/>
        <a:stretch/>
      </xdr:blipFill>
      <xdr:spPr>
        <a:xfrm>
          <a:off x="1864659" y="15186212"/>
          <a:ext cx="536190" cy="477415"/>
        </a:xfrm>
        <a:prstGeom prst="rect">
          <a:avLst/>
        </a:prstGeom>
      </xdr:spPr>
    </xdr:pic>
    <xdr:clientData/>
  </xdr:twoCellAnchor>
  <xdr:twoCellAnchor>
    <xdr:from>
      <xdr:col>2</xdr:col>
      <xdr:colOff>783005</xdr:colOff>
      <xdr:row>73</xdr:row>
      <xdr:rowOff>83747</xdr:rowOff>
    </xdr:from>
    <xdr:to>
      <xdr:col>2</xdr:col>
      <xdr:colOff>1280328</xdr:colOff>
      <xdr:row>75</xdr:row>
      <xdr:rowOff>116325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5737528C-3FE3-44B6-8448-9FC5D168B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208" t="8330" r="22828" b="5357"/>
        <a:stretch/>
      </xdr:blipFill>
      <xdr:spPr>
        <a:xfrm>
          <a:off x="2513193" y="15198241"/>
          <a:ext cx="497323" cy="444955"/>
        </a:xfrm>
        <a:prstGeom prst="rect">
          <a:avLst/>
        </a:prstGeom>
      </xdr:spPr>
    </xdr:pic>
    <xdr:clientData/>
  </xdr:twoCellAnchor>
  <xdr:twoCellAnchor>
    <xdr:from>
      <xdr:col>2</xdr:col>
      <xdr:colOff>1419996</xdr:colOff>
      <xdr:row>73</xdr:row>
      <xdr:rowOff>117812</xdr:rowOff>
    </xdr:from>
    <xdr:to>
      <xdr:col>2</xdr:col>
      <xdr:colOff>1942851</xdr:colOff>
      <xdr:row>75</xdr:row>
      <xdr:rowOff>155699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822A56B-358E-4DF1-8A4C-34A98A0DD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257" t="8522" r="23148" b="4572"/>
        <a:stretch/>
      </xdr:blipFill>
      <xdr:spPr>
        <a:xfrm>
          <a:off x="3150184" y="15232306"/>
          <a:ext cx="522855" cy="450264"/>
        </a:xfrm>
        <a:prstGeom prst="rect">
          <a:avLst/>
        </a:prstGeom>
      </xdr:spPr>
    </xdr:pic>
    <xdr:clientData/>
  </xdr:twoCellAnchor>
  <xdr:twoCellAnchor>
    <xdr:from>
      <xdr:col>2</xdr:col>
      <xdr:colOff>753620</xdr:colOff>
      <xdr:row>76</xdr:row>
      <xdr:rowOff>62753</xdr:rowOff>
    </xdr:from>
    <xdr:to>
      <xdr:col>2</xdr:col>
      <xdr:colOff>1289810</xdr:colOff>
      <xdr:row>78</xdr:row>
      <xdr:rowOff>114436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90B81D2D-790B-4879-8F54-758B06730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350" t="8330" r="20982" b="4490"/>
        <a:stretch/>
      </xdr:blipFill>
      <xdr:spPr>
        <a:xfrm>
          <a:off x="2483808" y="15795812"/>
          <a:ext cx="536190" cy="464059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76</xdr:row>
      <xdr:rowOff>76666</xdr:rowOff>
    </xdr:from>
    <xdr:to>
      <xdr:col>2</xdr:col>
      <xdr:colOff>627742</xdr:colOff>
      <xdr:row>78</xdr:row>
      <xdr:rowOff>113639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14D0EC80-C708-41F9-BD66-D6DE10F2D3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516" t="8408" r="20424" b="5237"/>
        <a:stretch/>
      </xdr:blipFill>
      <xdr:spPr>
        <a:xfrm>
          <a:off x="1819835" y="15809725"/>
          <a:ext cx="538095" cy="449349"/>
        </a:xfrm>
        <a:prstGeom prst="rect">
          <a:avLst/>
        </a:prstGeom>
      </xdr:spPr>
    </xdr:pic>
    <xdr:clientData/>
  </xdr:twoCellAnchor>
  <xdr:twoCellAnchor>
    <xdr:from>
      <xdr:col>2</xdr:col>
      <xdr:colOff>2031959</xdr:colOff>
      <xdr:row>76</xdr:row>
      <xdr:rowOff>71920</xdr:rowOff>
    </xdr:from>
    <xdr:to>
      <xdr:col>2</xdr:col>
      <xdr:colOff>2570054</xdr:colOff>
      <xdr:row>78</xdr:row>
      <xdr:rowOff>124020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698B7C1-CC80-44D3-A4F7-02F5728EE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217" t="8843" r="21270" b="4651"/>
        <a:stretch/>
      </xdr:blipFill>
      <xdr:spPr>
        <a:xfrm>
          <a:off x="3762147" y="15804979"/>
          <a:ext cx="538095" cy="464476"/>
        </a:xfrm>
        <a:prstGeom prst="rect">
          <a:avLst/>
        </a:prstGeom>
      </xdr:spPr>
    </xdr:pic>
    <xdr:clientData/>
  </xdr:twoCellAnchor>
  <xdr:twoCellAnchor>
    <xdr:from>
      <xdr:col>2</xdr:col>
      <xdr:colOff>1439490</xdr:colOff>
      <xdr:row>76</xdr:row>
      <xdr:rowOff>82997</xdr:rowOff>
    </xdr:from>
    <xdr:to>
      <xdr:col>2</xdr:col>
      <xdr:colOff>1979490</xdr:colOff>
      <xdr:row>78</xdr:row>
      <xdr:rowOff>138463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139885-9A84-4FE4-997B-6803C903C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479" t="9011" r="20954" b="4416"/>
        <a:stretch/>
      </xdr:blipFill>
      <xdr:spPr>
        <a:xfrm>
          <a:off x="3169678" y="15816056"/>
          <a:ext cx="540000" cy="467842"/>
        </a:xfrm>
        <a:prstGeom prst="rect">
          <a:avLst/>
        </a:prstGeom>
      </xdr:spPr>
    </xdr:pic>
    <xdr:clientData/>
  </xdr:twoCellAnchor>
  <xdr:twoCellAnchor>
    <xdr:from>
      <xdr:col>2</xdr:col>
      <xdr:colOff>732272</xdr:colOff>
      <xdr:row>79</xdr:row>
      <xdr:rowOff>89647</xdr:rowOff>
    </xdr:from>
    <xdr:to>
      <xdr:col>2</xdr:col>
      <xdr:colOff>1270367</xdr:colOff>
      <xdr:row>81</xdr:row>
      <xdr:rowOff>132343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A3948132-6F09-47E9-850F-7AA453CC0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330" t="8651" r="20748" b="5282"/>
        <a:stretch/>
      </xdr:blipFill>
      <xdr:spPr>
        <a:xfrm>
          <a:off x="2462460" y="16441271"/>
          <a:ext cx="538095" cy="455072"/>
        </a:xfrm>
        <a:prstGeom prst="rect">
          <a:avLst/>
        </a:prstGeom>
      </xdr:spPr>
    </xdr:pic>
    <xdr:clientData/>
  </xdr:twoCellAnchor>
  <xdr:twoCellAnchor>
    <xdr:from>
      <xdr:col>2</xdr:col>
      <xdr:colOff>71717</xdr:colOff>
      <xdr:row>79</xdr:row>
      <xdr:rowOff>90814</xdr:rowOff>
    </xdr:from>
    <xdr:to>
      <xdr:col>2</xdr:col>
      <xdr:colOff>600287</xdr:colOff>
      <xdr:row>81</xdr:row>
      <xdr:rowOff>142643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B8223139-6007-4356-BB75-E9A82BD0F0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122" t="8523" r="20632" b="4809"/>
        <a:stretch/>
      </xdr:blipFill>
      <xdr:spPr>
        <a:xfrm>
          <a:off x="1801905" y="16442438"/>
          <a:ext cx="528570" cy="464205"/>
        </a:xfrm>
        <a:prstGeom prst="rect">
          <a:avLst/>
        </a:prstGeom>
      </xdr:spPr>
    </xdr:pic>
    <xdr:clientData/>
  </xdr:twoCellAnchor>
  <xdr:twoCellAnchor>
    <xdr:from>
      <xdr:col>2</xdr:col>
      <xdr:colOff>1403898</xdr:colOff>
      <xdr:row>79</xdr:row>
      <xdr:rowOff>110541</xdr:rowOff>
    </xdr:from>
    <xdr:to>
      <xdr:col>2</xdr:col>
      <xdr:colOff>1938027</xdr:colOff>
      <xdr:row>81</xdr:row>
      <xdr:rowOff>153698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C72510A8-577D-45F8-9F3C-57C5DBF4F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431" t="9009" r="21695" b="4562"/>
        <a:stretch/>
      </xdr:blipFill>
      <xdr:spPr>
        <a:xfrm>
          <a:off x="3134086" y="16462165"/>
          <a:ext cx="534129" cy="455533"/>
        </a:xfrm>
        <a:prstGeom prst="rect">
          <a:avLst/>
        </a:prstGeom>
      </xdr:spPr>
    </xdr:pic>
    <xdr:clientData/>
  </xdr:twoCellAnchor>
  <xdr:twoCellAnchor>
    <xdr:from>
      <xdr:col>2</xdr:col>
      <xdr:colOff>2011860</xdr:colOff>
      <xdr:row>79</xdr:row>
      <xdr:rowOff>90920</xdr:rowOff>
    </xdr:from>
    <xdr:to>
      <xdr:col>2</xdr:col>
      <xdr:colOff>2551860</xdr:colOff>
      <xdr:row>81</xdr:row>
      <xdr:rowOff>144405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D6F3E4CD-A64B-4261-82CA-EEC55B991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220" t="8628" r="21121" b="5135"/>
        <a:stretch/>
      </xdr:blipFill>
      <xdr:spPr>
        <a:xfrm>
          <a:off x="3742048" y="16442544"/>
          <a:ext cx="540000" cy="4658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35624</xdr:colOff>
      <xdr:row>0</xdr:row>
      <xdr:rowOff>61293</xdr:rowOff>
    </xdr:from>
    <xdr:ext cx="519091" cy="420526"/>
    <xdr:pic>
      <xdr:nvPicPr>
        <xdr:cNvPr id="2" name="Рисунок 1">
          <a:extLst>
            <a:ext uri="{FF2B5EF4-FFF2-40B4-BE49-F238E27FC236}">
              <a16:creationId xmlns:a16="http://schemas.microsoft.com/office/drawing/2014/main" id="{E9C06E82-3B0E-4AB6-922B-66C56B0B7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4" y="61293"/>
          <a:ext cx="519091" cy="420526"/>
        </a:xfrm>
        <a:prstGeom prst="rect">
          <a:avLst/>
        </a:prstGeom>
      </xdr:spPr>
    </xdr:pic>
    <xdr:clientData/>
  </xdr:oneCellAnchor>
  <xdr:twoCellAnchor editAs="oneCell">
    <xdr:from>
      <xdr:col>1</xdr:col>
      <xdr:colOff>83820</xdr:colOff>
      <xdr:row>7</xdr:row>
      <xdr:rowOff>75545</xdr:rowOff>
    </xdr:from>
    <xdr:to>
      <xdr:col>1</xdr:col>
      <xdr:colOff>478828</xdr:colOff>
      <xdr:row>8</xdr:row>
      <xdr:rowOff>92338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8137F7CE-87C9-4218-8137-44391E40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" y="1576685"/>
          <a:ext cx="391198" cy="432083"/>
        </a:xfrm>
        <a:prstGeom prst="rect">
          <a:avLst/>
        </a:prstGeom>
      </xdr:spPr>
    </xdr:pic>
    <xdr:clientData/>
  </xdr:twoCellAnchor>
  <xdr:twoCellAnchor editAs="oneCell">
    <xdr:from>
      <xdr:col>1</xdr:col>
      <xdr:colOff>608434</xdr:colOff>
      <xdr:row>7</xdr:row>
      <xdr:rowOff>53340</xdr:rowOff>
    </xdr:from>
    <xdr:to>
      <xdr:col>2</xdr:col>
      <xdr:colOff>213359</xdr:colOff>
      <xdr:row>8</xdr:row>
      <xdr:rowOff>135208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BCE152E-92F3-4C49-B3D8-1C7E43C48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4" y="1554480"/>
          <a:ext cx="412645" cy="495253"/>
        </a:xfrm>
        <a:prstGeom prst="rect">
          <a:avLst/>
        </a:prstGeom>
      </xdr:spPr>
    </xdr:pic>
    <xdr:clientData/>
  </xdr:twoCellAnchor>
  <xdr:twoCellAnchor editAs="oneCell">
    <xdr:from>
      <xdr:col>1</xdr:col>
      <xdr:colOff>125506</xdr:colOff>
      <xdr:row>12</xdr:row>
      <xdr:rowOff>62753</xdr:rowOff>
    </xdr:from>
    <xdr:to>
      <xdr:col>1</xdr:col>
      <xdr:colOff>549873</xdr:colOff>
      <xdr:row>15</xdr:row>
      <xdr:rowOff>21962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451EE2D4-9E3E-435B-969D-F0EFFAA3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3209365"/>
          <a:ext cx="412937" cy="493281"/>
        </a:xfrm>
        <a:prstGeom prst="rect">
          <a:avLst/>
        </a:prstGeom>
      </xdr:spPr>
    </xdr:pic>
    <xdr:clientData/>
  </xdr:twoCellAnchor>
  <xdr:twoCellAnchor editAs="oneCell">
    <xdr:from>
      <xdr:col>1</xdr:col>
      <xdr:colOff>580304</xdr:colOff>
      <xdr:row>12</xdr:row>
      <xdr:rowOff>73623</xdr:rowOff>
    </xdr:from>
    <xdr:to>
      <xdr:col>2</xdr:col>
      <xdr:colOff>211343</xdr:colOff>
      <xdr:row>15</xdr:row>
      <xdr:rowOff>16762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CCE4125B-8081-4499-ADAD-543C1D69F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04" y="3220235"/>
          <a:ext cx="432708" cy="477211"/>
        </a:xfrm>
        <a:prstGeom prst="rect">
          <a:avLst/>
        </a:prstGeom>
      </xdr:spPr>
    </xdr:pic>
    <xdr:clientData/>
  </xdr:twoCellAnchor>
  <xdr:twoCellAnchor editAs="oneCell">
    <xdr:from>
      <xdr:col>1</xdr:col>
      <xdr:colOff>98612</xdr:colOff>
      <xdr:row>17</xdr:row>
      <xdr:rowOff>80683</xdr:rowOff>
    </xdr:from>
    <xdr:to>
      <xdr:col>1</xdr:col>
      <xdr:colOff>551456</xdr:colOff>
      <xdr:row>19</xdr:row>
      <xdr:rowOff>189218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58794353-60CC-49A7-953A-15A5255E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812" y="4123765"/>
          <a:ext cx="466179" cy="538841"/>
        </a:xfrm>
        <a:prstGeom prst="rect">
          <a:avLst/>
        </a:prstGeom>
      </xdr:spPr>
    </xdr:pic>
    <xdr:clientData/>
  </xdr:twoCellAnchor>
  <xdr:twoCellAnchor editAs="oneCell">
    <xdr:from>
      <xdr:col>1</xdr:col>
      <xdr:colOff>629612</xdr:colOff>
      <xdr:row>17</xdr:row>
      <xdr:rowOff>83784</xdr:rowOff>
    </xdr:from>
    <xdr:to>
      <xdr:col>2</xdr:col>
      <xdr:colOff>212687</xdr:colOff>
      <xdr:row>20</xdr:row>
      <xdr:rowOff>2579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F0E22C5-7A30-4C7B-A1C7-3BFA7715D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12" y="4126866"/>
          <a:ext cx="392364" cy="557018"/>
        </a:xfrm>
        <a:prstGeom prst="rect">
          <a:avLst/>
        </a:prstGeom>
      </xdr:spPr>
    </xdr:pic>
    <xdr:clientData/>
  </xdr:twoCellAnchor>
  <xdr:twoCellAnchor editAs="oneCell">
    <xdr:from>
      <xdr:col>1</xdr:col>
      <xdr:colOff>125506</xdr:colOff>
      <xdr:row>21</xdr:row>
      <xdr:rowOff>72341</xdr:rowOff>
    </xdr:from>
    <xdr:to>
      <xdr:col>1</xdr:col>
      <xdr:colOff>572364</xdr:colOff>
      <xdr:row>23</xdr:row>
      <xdr:rowOff>168985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B546B9F0-D6E5-418D-9BA6-6471393D5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4976035"/>
          <a:ext cx="446858" cy="519330"/>
        </a:xfrm>
        <a:prstGeom prst="rect">
          <a:avLst/>
        </a:prstGeom>
      </xdr:spPr>
    </xdr:pic>
    <xdr:clientData/>
  </xdr:twoCellAnchor>
  <xdr:twoCellAnchor editAs="oneCell">
    <xdr:from>
      <xdr:col>1</xdr:col>
      <xdr:colOff>633471</xdr:colOff>
      <xdr:row>21</xdr:row>
      <xdr:rowOff>62754</xdr:rowOff>
    </xdr:from>
    <xdr:to>
      <xdr:col>2</xdr:col>
      <xdr:colOff>268941</xdr:colOff>
      <xdr:row>24</xdr:row>
      <xdr:rowOff>3427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3A25C7DC-FFA1-4005-AA9E-7FB27AC38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71" y="4966448"/>
          <a:ext cx="433329" cy="563656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25</xdr:row>
      <xdr:rowOff>98611</xdr:rowOff>
    </xdr:from>
    <xdr:to>
      <xdr:col>1</xdr:col>
      <xdr:colOff>552002</xdr:colOff>
      <xdr:row>28</xdr:row>
      <xdr:rowOff>135815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83685CFD-5B3B-44C1-B08C-C40B538E6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671" y="5862917"/>
          <a:ext cx="421341" cy="690283"/>
        </a:xfrm>
        <a:prstGeom prst="rect">
          <a:avLst/>
        </a:prstGeom>
      </xdr:spPr>
    </xdr:pic>
    <xdr:clientData/>
  </xdr:twoCellAnchor>
  <xdr:twoCellAnchor editAs="oneCell">
    <xdr:from>
      <xdr:col>1</xdr:col>
      <xdr:colOff>632012</xdr:colOff>
      <xdr:row>25</xdr:row>
      <xdr:rowOff>87776</xdr:rowOff>
    </xdr:from>
    <xdr:to>
      <xdr:col>2</xdr:col>
      <xdr:colOff>247202</xdr:colOff>
      <xdr:row>28</xdr:row>
      <xdr:rowOff>130660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A8330D9A-F1E1-4CD8-A40F-6DD06A7B4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59" r="12711"/>
        <a:stretch/>
      </xdr:blipFill>
      <xdr:spPr>
        <a:xfrm>
          <a:off x="1089212" y="5852082"/>
          <a:ext cx="416859" cy="692153"/>
        </a:xfrm>
        <a:prstGeom prst="rect">
          <a:avLst/>
        </a:prstGeom>
      </xdr:spPr>
    </xdr:pic>
    <xdr:clientData/>
  </xdr:twoCellAnchor>
  <xdr:twoCellAnchor editAs="oneCell">
    <xdr:from>
      <xdr:col>1</xdr:col>
      <xdr:colOff>133655</xdr:colOff>
      <xdr:row>29</xdr:row>
      <xdr:rowOff>95030</xdr:rowOff>
    </xdr:from>
    <xdr:to>
      <xdr:col>1</xdr:col>
      <xdr:colOff>531159</xdr:colOff>
      <xdr:row>31</xdr:row>
      <xdr:rowOff>132265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CB2BD53B-6AF9-4BFD-9F11-3662F57E1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0" y="6840971"/>
          <a:ext cx="397504" cy="49499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32</xdr:row>
      <xdr:rowOff>98327</xdr:rowOff>
    </xdr:from>
    <xdr:to>
      <xdr:col>1</xdr:col>
      <xdr:colOff>550657</xdr:colOff>
      <xdr:row>34</xdr:row>
      <xdr:rowOff>113819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F1398D0-E2FA-49A4-929D-6615A5C19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847" y="7368703"/>
          <a:ext cx="457200" cy="427869"/>
        </a:xfrm>
        <a:prstGeom prst="rect">
          <a:avLst/>
        </a:prstGeom>
      </xdr:spPr>
    </xdr:pic>
    <xdr:clientData/>
  </xdr:twoCellAnchor>
  <xdr:twoCellAnchor editAs="oneCell">
    <xdr:from>
      <xdr:col>1</xdr:col>
      <xdr:colOff>654424</xdr:colOff>
      <xdr:row>32</xdr:row>
      <xdr:rowOff>71718</xdr:rowOff>
    </xdr:from>
    <xdr:to>
      <xdr:col>2</xdr:col>
      <xdr:colOff>245856</xdr:colOff>
      <xdr:row>34</xdr:row>
      <xdr:rowOff>188435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A1CF844E-EE26-4F55-A502-AA2ABB59E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624" y="7342094"/>
          <a:ext cx="385481" cy="529094"/>
        </a:xfrm>
        <a:prstGeom prst="rect">
          <a:avLst/>
        </a:prstGeom>
      </xdr:spPr>
    </xdr:pic>
    <xdr:clientData/>
  </xdr:twoCellAnchor>
  <xdr:twoCellAnchor editAs="oneCell">
    <xdr:from>
      <xdr:col>1</xdr:col>
      <xdr:colOff>98611</xdr:colOff>
      <xdr:row>35</xdr:row>
      <xdr:rowOff>89647</xdr:rowOff>
    </xdr:from>
    <xdr:to>
      <xdr:col>1</xdr:col>
      <xdr:colOff>551859</xdr:colOff>
      <xdr:row>37</xdr:row>
      <xdr:rowOff>133110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FD4BFDBE-E248-47B1-95C3-98145D9B0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811" y="7978588"/>
          <a:ext cx="466583" cy="459650"/>
        </a:xfrm>
        <a:prstGeom prst="rect">
          <a:avLst/>
        </a:prstGeom>
      </xdr:spPr>
    </xdr:pic>
    <xdr:clientData/>
  </xdr:twoCellAnchor>
  <xdr:twoCellAnchor editAs="oneCell">
    <xdr:from>
      <xdr:col>1</xdr:col>
      <xdr:colOff>646948</xdr:colOff>
      <xdr:row>35</xdr:row>
      <xdr:rowOff>98612</xdr:rowOff>
    </xdr:from>
    <xdr:to>
      <xdr:col>2</xdr:col>
      <xdr:colOff>247202</xdr:colOff>
      <xdr:row>37</xdr:row>
      <xdr:rowOff>174139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3B808B6C-35D3-4742-9511-F452089D2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148" y="7987553"/>
          <a:ext cx="401923" cy="484094"/>
        </a:xfrm>
        <a:prstGeom prst="rect">
          <a:avLst/>
        </a:prstGeom>
      </xdr:spPr>
    </xdr:pic>
    <xdr:clientData/>
  </xdr:twoCellAnchor>
  <xdr:twoCellAnchor editAs="oneCell">
    <xdr:from>
      <xdr:col>1</xdr:col>
      <xdr:colOff>80682</xdr:colOff>
      <xdr:row>38</xdr:row>
      <xdr:rowOff>73964</xdr:rowOff>
    </xdr:from>
    <xdr:to>
      <xdr:col>1</xdr:col>
      <xdr:colOff>551489</xdr:colOff>
      <xdr:row>40</xdr:row>
      <xdr:rowOff>129926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FDAC9D4-1706-4BE5-8ACB-5AE6A828D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2" y="8581470"/>
          <a:ext cx="484142" cy="464528"/>
        </a:xfrm>
        <a:prstGeom prst="rect">
          <a:avLst/>
        </a:prstGeom>
      </xdr:spPr>
    </xdr:pic>
    <xdr:clientData/>
  </xdr:twoCellAnchor>
  <xdr:twoCellAnchor editAs="oneCell">
    <xdr:from>
      <xdr:col>1</xdr:col>
      <xdr:colOff>615511</xdr:colOff>
      <xdr:row>38</xdr:row>
      <xdr:rowOff>71718</xdr:rowOff>
    </xdr:from>
    <xdr:to>
      <xdr:col>2</xdr:col>
      <xdr:colOff>246641</xdr:colOff>
      <xdr:row>40</xdr:row>
      <xdr:rowOff>132104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62E9DD90-9F26-4CA4-8EEB-3A5092E98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711" y="8579224"/>
          <a:ext cx="442324" cy="476572"/>
        </a:xfrm>
        <a:prstGeom prst="rect">
          <a:avLst/>
        </a:prstGeom>
      </xdr:spPr>
    </xdr:pic>
    <xdr:clientData/>
  </xdr:twoCellAnchor>
  <xdr:twoCellAnchor editAs="oneCell">
    <xdr:from>
      <xdr:col>1</xdr:col>
      <xdr:colOff>62753</xdr:colOff>
      <xdr:row>41</xdr:row>
      <xdr:rowOff>71811</xdr:rowOff>
    </xdr:from>
    <xdr:to>
      <xdr:col>1</xdr:col>
      <xdr:colOff>517503</xdr:colOff>
      <xdr:row>43</xdr:row>
      <xdr:rowOff>135815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5267471D-23C6-4446-BC3E-5AA358DD4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53" y="9197882"/>
          <a:ext cx="462370" cy="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585475</xdr:colOff>
      <xdr:row>41</xdr:row>
      <xdr:rowOff>62752</xdr:rowOff>
    </xdr:from>
    <xdr:to>
      <xdr:col>2</xdr:col>
      <xdr:colOff>283059</xdr:colOff>
      <xdr:row>43</xdr:row>
      <xdr:rowOff>174139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59E55F06-BA25-4A3D-933E-D4DCA88C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5" y="9188823"/>
          <a:ext cx="499253" cy="519953"/>
        </a:xfrm>
        <a:prstGeom prst="rect">
          <a:avLst/>
        </a:prstGeom>
      </xdr:spPr>
    </xdr:pic>
    <xdr:clientData/>
  </xdr:twoCellAnchor>
  <xdr:twoCellAnchor editAs="oneCell">
    <xdr:from>
      <xdr:col>1</xdr:col>
      <xdr:colOff>69042</xdr:colOff>
      <xdr:row>44</xdr:row>
      <xdr:rowOff>53788</xdr:rowOff>
    </xdr:from>
    <xdr:to>
      <xdr:col>1</xdr:col>
      <xdr:colOff>516405</xdr:colOff>
      <xdr:row>46</xdr:row>
      <xdr:rowOff>130660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12848699-60DE-40CB-A3B4-1F7A212F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77" y="10027023"/>
          <a:ext cx="451173" cy="506506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47</xdr:row>
      <xdr:rowOff>99236</xdr:rowOff>
    </xdr:from>
    <xdr:to>
      <xdr:col>1</xdr:col>
      <xdr:colOff>493446</xdr:colOff>
      <xdr:row>47</xdr:row>
      <xdr:rowOff>399681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273BCACF-8D4A-48EB-BA07-D44EC9FCF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847" y="10462436"/>
          <a:ext cx="403799" cy="313780"/>
        </a:xfrm>
        <a:prstGeom prst="rect">
          <a:avLst/>
        </a:prstGeom>
      </xdr:spPr>
    </xdr:pic>
    <xdr:clientData/>
  </xdr:twoCellAnchor>
  <xdr:twoCellAnchor editAs="oneCell">
    <xdr:from>
      <xdr:col>1</xdr:col>
      <xdr:colOff>513696</xdr:colOff>
      <xdr:row>47</xdr:row>
      <xdr:rowOff>53788</xdr:rowOff>
    </xdr:from>
    <xdr:to>
      <xdr:col>2</xdr:col>
      <xdr:colOff>268941</xdr:colOff>
      <xdr:row>47</xdr:row>
      <xdr:rowOff>475387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1B3B5B2-8E48-43AB-8F8F-EFC782FAF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96" y="10416988"/>
          <a:ext cx="553104" cy="42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104374</xdr:colOff>
      <xdr:row>50</xdr:row>
      <xdr:rowOff>73204</xdr:rowOff>
    </xdr:from>
    <xdr:to>
      <xdr:col>1</xdr:col>
      <xdr:colOff>512316</xdr:colOff>
      <xdr:row>52</xdr:row>
      <xdr:rowOff>57628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DF6B4101-D09B-4629-979B-756B3C14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574" y="10920498"/>
          <a:ext cx="411752" cy="279699"/>
        </a:xfrm>
        <a:prstGeom prst="rect">
          <a:avLst/>
        </a:prstGeom>
      </xdr:spPr>
    </xdr:pic>
    <xdr:clientData/>
  </xdr:twoCellAnchor>
  <xdr:twoCellAnchor editAs="oneCell">
    <xdr:from>
      <xdr:col>1</xdr:col>
      <xdr:colOff>589928</xdr:colOff>
      <xdr:row>50</xdr:row>
      <xdr:rowOff>64867</xdr:rowOff>
    </xdr:from>
    <xdr:to>
      <xdr:col>2</xdr:col>
      <xdr:colOff>210557</xdr:colOff>
      <xdr:row>52</xdr:row>
      <xdr:rowOff>55662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666F199A-507F-4CCF-9CCB-BA9D40B3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128" y="10912161"/>
          <a:ext cx="405153" cy="308930"/>
        </a:xfrm>
        <a:prstGeom prst="rect">
          <a:avLst/>
        </a:prstGeom>
      </xdr:spPr>
    </xdr:pic>
    <xdr:clientData/>
  </xdr:twoCellAnchor>
  <xdr:twoCellAnchor editAs="oneCell">
    <xdr:from>
      <xdr:col>5</xdr:col>
      <xdr:colOff>654424</xdr:colOff>
      <xdr:row>55</xdr:row>
      <xdr:rowOff>18522</xdr:rowOff>
    </xdr:from>
    <xdr:to>
      <xdr:col>6</xdr:col>
      <xdr:colOff>225830</xdr:colOff>
      <xdr:row>55</xdr:row>
      <xdr:rowOff>667582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C3696927-8B1C-42D9-B343-7D7A4C523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6212" y="11600922"/>
          <a:ext cx="351336" cy="645250"/>
        </a:xfrm>
        <a:prstGeom prst="rect">
          <a:avLst/>
        </a:prstGeom>
      </xdr:spPr>
    </xdr:pic>
    <xdr:clientData/>
  </xdr:twoCellAnchor>
  <xdr:twoCellAnchor editAs="oneCell">
    <xdr:from>
      <xdr:col>7</xdr:col>
      <xdr:colOff>458352</xdr:colOff>
      <xdr:row>55</xdr:row>
      <xdr:rowOff>27487</xdr:rowOff>
    </xdr:from>
    <xdr:to>
      <xdr:col>8</xdr:col>
      <xdr:colOff>206620</xdr:colOff>
      <xdr:row>55</xdr:row>
      <xdr:rowOff>702177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EA564BD5-10C2-4994-A4F9-E8D0D08B1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999" y="11609887"/>
          <a:ext cx="380952" cy="663260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485777</xdr:colOff>
      <xdr:row>55</xdr:row>
      <xdr:rowOff>17929</xdr:rowOff>
    </xdr:from>
    <xdr:to>
      <xdr:col>10</xdr:col>
      <xdr:colOff>192969</xdr:colOff>
      <xdr:row>55</xdr:row>
      <xdr:rowOff>701040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FC7BF7A2-721F-4063-B1B1-B39AA802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6557" y="13375789"/>
          <a:ext cx="484432" cy="683111"/>
        </a:xfrm>
        <a:prstGeom prst="rect">
          <a:avLst/>
        </a:prstGeom>
      </xdr:spPr>
    </xdr:pic>
    <xdr:clientData/>
  </xdr:twoCellAnchor>
  <xdr:twoCellAnchor editAs="oneCell">
    <xdr:from>
      <xdr:col>11</xdr:col>
      <xdr:colOff>592363</xdr:colOff>
      <xdr:row>55</xdr:row>
      <xdr:rowOff>32380</xdr:rowOff>
    </xdr:from>
    <xdr:to>
      <xdr:col>12</xdr:col>
      <xdr:colOff>249555</xdr:colOff>
      <xdr:row>56</xdr:row>
      <xdr:rowOff>3759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A943B318-74E7-45E3-97B1-1CA29ADF2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23" y="13390240"/>
          <a:ext cx="626837" cy="701442"/>
        </a:xfrm>
        <a:prstGeom prst="rect">
          <a:avLst/>
        </a:prstGeom>
      </xdr:spPr>
    </xdr:pic>
    <xdr:clientData/>
  </xdr:twoCellAnchor>
  <xdr:twoCellAnchor editAs="oneCell">
    <xdr:from>
      <xdr:col>1</xdr:col>
      <xdr:colOff>695892</xdr:colOff>
      <xdr:row>48</xdr:row>
      <xdr:rowOff>31954</xdr:rowOff>
    </xdr:from>
    <xdr:to>
      <xdr:col>2</xdr:col>
      <xdr:colOff>129957</xdr:colOff>
      <xdr:row>48</xdr:row>
      <xdr:rowOff>474457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39212042-1964-4260-BDA8-B44428EE2D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73" r="36248"/>
        <a:stretch/>
      </xdr:blipFill>
      <xdr:spPr>
        <a:xfrm>
          <a:off x="1155333" y="10901660"/>
          <a:ext cx="222063" cy="438693"/>
        </a:xfrm>
        <a:prstGeom prst="rect">
          <a:avLst/>
        </a:prstGeom>
      </xdr:spPr>
    </xdr:pic>
    <xdr:clientData/>
  </xdr:twoCellAnchor>
  <xdr:twoCellAnchor editAs="oneCell">
    <xdr:from>
      <xdr:col>1</xdr:col>
      <xdr:colOff>222212</xdr:colOff>
      <xdr:row>48</xdr:row>
      <xdr:rowOff>13111</xdr:rowOff>
    </xdr:from>
    <xdr:to>
      <xdr:col>1</xdr:col>
      <xdr:colOff>477834</xdr:colOff>
      <xdr:row>48</xdr:row>
      <xdr:rowOff>476578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69E2569-8C08-4370-A2A0-ED5F96BDD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9" r="35400"/>
        <a:stretch/>
      </xdr:blipFill>
      <xdr:spPr>
        <a:xfrm>
          <a:off x="681653" y="10882817"/>
          <a:ext cx="259432" cy="467277"/>
        </a:xfrm>
        <a:prstGeom prst="rect">
          <a:avLst/>
        </a:prstGeom>
      </xdr:spPr>
    </xdr:pic>
    <xdr:clientData/>
  </xdr:twoCellAnchor>
  <xdr:twoCellAnchor editAs="oneCell">
    <xdr:from>
      <xdr:col>1</xdr:col>
      <xdr:colOff>663200</xdr:colOff>
      <xdr:row>49</xdr:row>
      <xdr:rowOff>17973</xdr:rowOff>
    </xdr:from>
    <xdr:to>
      <xdr:col>2</xdr:col>
      <xdr:colOff>136151</xdr:colOff>
      <xdr:row>49</xdr:row>
      <xdr:rowOff>459441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FBE689C4-D760-4408-8080-9C9446149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36" r="35142"/>
        <a:stretch/>
      </xdr:blipFill>
      <xdr:spPr>
        <a:xfrm>
          <a:off x="1122641" y="11369532"/>
          <a:ext cx="276189" cy="441468"/>
        </a:xfrm>
        <a:prstGeom prst="rect">
          <a:avLst/>
        </a:prstGeom>
      </xdr:spPr>
    </xdr:pic>
    <xdr:clientData/>
  </xdr:twoCellAnchor>
  <xdr:twoCellAnchor editAs="oneCell">
    <xdr:from>
      <xdr:col>1</xdr:col>
      <xdr:colOff>225570</xdr:colOff>
      <xdr:row>49</xdr:row>
      <xdr:rowOff>17248</xdr:rowOff>
    </xdr:from>
    <xdr:to>
      <xdr:col>1</xdr:col>
      <xdr:colOff>474457</xdr:colOff>
      <xdr:row>49</xdr:row>
      <xdr:rowOff>515283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D19C3CC-F209-4AC6-A612-8F9F39CB0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40" r="35079"/>
        <a:stretch/>
      </xdr:blipFill>
      <xdr:spPr>
        <a:xfrm>
          <a:off x="685011" y="11368807"/>
          <a:ext cx="245077" cy="486605"/>
        </a:xfrm>
        <a:prstGeom prst="rect">
          <a:avLst/>
        </a:prstGeom>
      </xdr:spPr>
    </xdr:pic>
    <xdr:clientData/>
  </xdr:twoCellAnchor>
  <xdr:twoCellAnchor editAs="oneCell">
    <xdr:from>
      <xdr:col>1</xdr:col>
      <xdr:colOff>117773</xdr:colOff>
      <xdr:row>53</xdr:row>
      <xdr:rowOff>72725</xdr:rowOff>
    </xdr:from>
    <xdr:to>
      <xdr:col>2</xdr:col>
      <xdr:colOff>173578</xdr:colOff>
      <xdr:row>53</xdr:row>
      <xdr:rowOff>479947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28333D5F-034B-46C6-A873-EBE68D33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4" y="12600901"/>
          <a:ext cx="862853" cy="411032"/>
        </a:xfrm>
        <a:prstGeom prst="rect">
          <a:avLst/>
        </a:prstGeom>
      </xdr:spPr>
    </xdr:pic>
    <xdr:clientData/>
  </xdr:twoCellAnchor>
  <xdr:twoCellAnchor editAs="oneCell">
    <xdr:from>
      <xdr:col>1</xdr:col>
      <xdr:colOff>616324</xdr:colOff>
      <xdr:row>29</xdr:row>
      <xdr:rowOff>67235</xdr:rowOff>
    </xdr:from>
    <xdr:to>
      <xdr:col>2</xdr:col>
      <xdr:colOff>211232</xdr:colOff>
      <xdr:row>31</xdr:row>
      <xdr:rowOff>170049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A0807052-6BA6-4428-BA9B-E16AFC6D4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59" y="6813176"/>
          <a:ext cx="369795" cy="56057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44</xdr:row>
      <xdr:rowOff>44823</xdr:rowOff>
    </xdr:from>
    <xdr:to>
      <xdr:col>2</xdr:col>
      <xdr:colOff>209179</xdr:colOff>
      <xdr:row>46</xdr:row>
      <xdr:rowOff>132771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54F2DB42-F6DE-4116-98B7-1C16835AD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735" y="10018058"/>
          <a:ext cx="431616" cy="5232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35624</xdr:colOff>
      <xdr:row>0</xdr:row>
      <xdr:rowOff>61293</xdr:rowOff>
    </xdr:from>
    <xdr:ext cx="519091" cy="420526"/>
    <xdr:pic>
      <xdr:nvPicPr>
        <xdr:cNvPr id="2" name="Рисунок 1">
          <a:extLst>
            <a:ext uri="{FF2B5EF4-FFF2-40B4-BE49-F238E27FC236}">
              <a16:creationId xmlns:a16="http://schemas.microsoft.com/office/drawing/2014/main" id="{72C140A7-B644-4726-AF47-1672C4E44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4" y="61293"/>
          <a:ext cx="519091" cy="420526"/>
        </a:xfrm>
        <a:prstGeom prst="rect">
          <a:avLst/>
        </a:prstGeom>
      </xdr:spPr>
    </xdr:pic>
    <xdr:clientData/>
  </xdr:oneCellAnchor>
  <xdr:twoCellAnchor>
    <xdr:from>
      <xdr:col>1</xdr:col>
      <xdr:colOff>125506</xdr:colOff>
      <xdr:row>7</xdr:row>
      <xdr:rowOff>62753</xdr:rowOff>
    </xdr:from>
    <xdr:to>
      <xdr:col>1</xdr:col>
      <xdr:colOff>553683</xdr:colOff>
      <xdr:row>10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9C4F828-A1AB-4431-8262-C5E69FF2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81" y="3225053"/>
          <a:ext cx="428177" cy="498324"/>
        </a:xfrm>
        <a:prstGeom prst="rect">
          <a:avLst/>
        </a:prstGeom>
      </xdr:spPr>
    </xdr:pic>
    <xdr:clientData/>
  </xdr:twoCellAnchor>
  <xdr:twoCellAnchor>
    <xdr:from>
      <xdr:col>1</xdr:col>
      <xdr:colOff>580304</xdr:colOff>
      <xdr:row>7</xdr:row>
      <xdr:rowOff>73623</xdr:rowOff>
    </xdr:from>
    <xdr:to>
      <xdr:col>2</xdr:col>
      <xdr:colOff>207533</xdr:colOff>
      <xdr:row>10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C722B82-840B-4F58-AC94-7CAFEA87C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79" y="3235923"/>
          <a:ext cx="408279" cy="489874"/>
        </a:xfrm>
        <a:prstGeom prst="rect">
          <a:avLst/>
        </a:prstGeom>
      </xdr:spPr>
    </xdr:pic>
    <xdr:clientData/>
  </xdr:twoCellAnchor>
  <xdr:twoCellAnchor editAs="oneCell">
    <xdr:from>
      <xdr:col>1</xdr:col>
      <xdr:colOff>98612</xdr:colOff>
      <xdr:row>11</xdr:row>
      <xdr:rowOff>80683</xdr:rowOff>
    </xdr:from>
    <xdr:to>
      <xdr:col>1</xdr:col>
      <xdr:colOff>551456</xdr:colOff>
      <xdr:row>13</xdr:row>
      <xdr:rowOff>189219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7239E71-F182-4395-BADB-E7788791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4147858"/>
          <a:ext cx="456654" cy="546685"/>
        </a:xfrm>
        <a:prstGeom prst="rect">
          <a:avLst/>
        </a:prstGeom>
      </xdr:spPr>
    </xdr:pic>
    <xdr:clientData/>
  </xdr:twoCellAnchor>
  <xdr:twoCellAnchor editAs="oneCell">
    <xdr:from>
      <xdr:col>1</xdr:col>
      <xdr:colOff>629612</xdr:colOff>
      <xdr:row>11</xdr:row>
      <xdr:rowOff>83784</xdr:rowOff>
    </xdr:from>
    <xdr:to>
      <xdr:col>2</xdr:col>
      <xdr:colOff>212687</xdr:colOff>
      <xdr:row>14</xdr:row>
      <xdr:rowOff>2580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CEBE55E-AC61-414D-98B2-660081F13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287" y="4150959"/>
          <a:ext cx="360315" cy="564862"/>
        </a:xfrm>
        <a:prstGeom prst="rect">
          <a:avLst/>
        </a:prstGeom>
      </xdr:spPr>
    </xdr:pic>
    <xdr:clientData/>
  </xdr:twoCellAnchor>
  <xdr:twoCellAnchor editAs="oneCell">
    <xdr:from>
      <xdr:col>1</xdr:col>
      <xdr:colOff>125506</xdr:colOff>
      <xdr:row>15</xdr:row>
      <xdr:rowOff>72341</xdr:rowOff>
    </xdr:from>
    <xdr:to>
      <xdr:col>1</xdr:col>
      <xdr:colOff>572364</xdr:colOff>
      <xdr:row>17</xdr:row>
      <xdr:rowOff>168986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C6213E8-9821-4F10-8747-2A916050C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81" y="5015816"/>
          <a:ext cx="446858" cy="538604"/>
        </a:xfrm>
        <a:prstGeom prst="rect">
          <a:avLst/>
        </a:prstGeom>
      </xdr:spPr>
    </xdr:pic>
    <xdr:clientData/>
  </xdr:twoCellAnchor>
  <xdr:twoCellAnchor editAs="oneCell">
    <xdr:from>
      <xdr:col>1</xdr:col>
      <xdr:colOff>633471</xdr:colOff>
      <xdr:row>15</xdr:row>
      <xdr:rowOff>62754</xdr:rowOff>
    </xdr:from>
    <xdr:to>
      <xdr:col>2</xdr:col>
      <xdr:colOff>268941</xdr:colOff>
      <xdr:row>18</xdr:row>
      <xdr:rowOff>3428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32B3BB3-7A1C-47B3-B6EA-4E9EA9C40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146" y="5006229"/>
          <a:ext cx="416520" cy="58674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19</xdr:row>
      <xdr:rowOff>98611</xdr:rowOff>
    </xdr:from>
    <xdr:to>
      <xdr:col>1</xdr:col>
      <xdr:colOff>552002</xdr:colOff>
      <xdr:row>22</xdr:row>
      <xdr:rowOff>135815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1A4B9F5-5F6F-4810-A759-7F2FB5DC1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146" y="5918386"/>
          <a:ext cx="421341" cy="690619"/>
        </a:xfrm>
        <a:prstGeom prst="rect">
          <a:avLst/>
        </a:prstGeom>
      </xdr:spPr>
    </xdr:pic>
    <xdr:clientData/>
  </xdr:twoCellAnchor>
  <xdr:twoCellAnchor editAs="oneCell">
    <xdr:from>
      <xdr:col>1</xdr:col>
      <xdr:colOff>632012</xdr:colOff>
      <xdr:row>19</xdr:row>
      <xdr:rowOff>87776</xdr:rowOff>
    </xdr:from>
    <xdr:to>
      <xdr:col>2</xdr:col>
      <xdr:colOff>247202</xdr:colOff>
      <xdr:row>22</xdr:row>
      <xdr:rowOff>130660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8F092D4-1C9E-4F19-93B2-909ED78BDA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59" r="12711"/>
        <a:stretch/>
      </xdr:blipFill>
      <xdr:spPr>
        <a:xfrm>
          <a:off x="1079687" y="5907551"/>
          <a:ext cx="400050" cy="703919"/>
        </a:xfrm>
        <a:prstGeom prst="rect">
          <a:avLst/>
        </a:prstGeom>
      </xdr:spPr>
    </xdr:pic>
    <xdr:clientData/>
  </xdr:twoCellAnchor>
  <xdr:twoCellAnchor>
    <xdr:from>
      <xdr:col>1</xdr:col>
      <xdr:colOff>133655</xdr:colOff>
      <xdr:row>23</xdr:row>
      <xdr:rowOff>95030</xdr:rowOff>
    </xdr:from>
    <xdr:to>
      <xdr:col>1</xdr:col>
      <xdr:colOff>531159</xdr:colOff>
      <xdr:row>25</xdr:row>
      <xdr:rowOff>141790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1CB198E-B135-4C5D-BD56-1B63CDD63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330" y="6791105"/>
          <a:ext cx="397504" cy="48491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26</xdr:row>
      <xdr:rowOff>98327</xdr:rowOff>
    </xdr:from>
    <xdr:to>
      <xdr:col>1</xdr:col>
      <xdr:colOff>550657</xdr:colOff>
      <xdr:row>28</xdr:row>
      <xdr:rowOff>113821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0A2E806-1D3F-4DDC-8C51-CFD34E9F0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322" y="7451627"/>
          <a:ext cx="464820" cy="434592"/>
        </a:xfrm>
        <a:prstGeom prst="rect">
          <a:avLst/>
        </a:prstGeom>
      </xdr:spPr>
    </xdr:pic>
    <xdr:clientData/>
  </xdr:twoCellAnchor>
  <xdr:twoCellAnchor editAs="oneCell">
    <xdr:from>
      <xdr:col>1</xdr:col>
      <xdr:colOff>654424</xdr:colOff>
      <xdr:row>26</xdr:row>
      <xdr:rowOff>71718</xdr:rowOff>
    </xdr:from>
    <xdr:to>
      <xdr:col>2</xdr:col>
      <xdr:colOff>245856</xdr:colOff>
      <xdr:row>28</xdr:row>
      <xdr:rowOff>188437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852103E-5270-4D79-AE63-286143B6A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99" y="7425018"/>
          <a:ext cx="376292" cy="535817"/>
        </a:xfrm>
        <a:prstGeom prst="rect">
          <a:avLst/>
        </a:prstGeom>
      </xdr:spPr>
    </xdr:pic>
    <xdr:clientData/>
  </xdr:twoCellAnchor>
  <xdr:twoCellAnchor editAs="oneCell">
    <xdr:from>
      <xdr:col>1</xdr:col>
      <xdr:colOff>98611</xdr:colOff>
      <xdr:row>29</xdr:row>
      <xdr:rowOff>89647</xdr:rowOff>
    </xdr:from>
    <xdr:to>
      <xdr:col>1</xdr:col>
      <xdr:colOff>551859</xdr:colOff>
      <xdr:row>31</xdr:row>
      <xdr:rowOff>133110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A8CF8C6-4E11-43F1-B0FA-F8F8CBD5C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6" y="8071597"/>
          <a:ext cx="457058" cy="466373"/>
        </a:xfrm>
        <a:prstGeom prst="rect">
          <a:avLst/>
        </a:prstGeom>
      </xdr:spPr>
    </xdr:pic>
    <xdr:clientData/>
  </xdr:twoCellAnchor>
  <xdr:twoCellAnchor editAs="oneCell">
    <xdr:from>
      <xdr:col>1</xdr:col>
      <xdr:colOff>646948</xdr:colOff>
      <xdr:row>29</xdr:row>
      <xdr:rowOff>98612</xdr:rowOff>
    </xdr:from>
    <xdr:to>
      <xdr:col>2</xdr:col>
      <xdr:colOff>247202</xdr:colOff>
      <xdr:row>31</xdr:row>
      <xdr:rowOff>174139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F520212-41E8-459A-9C75-3ABAC0C49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623" y="8080562"/>
          <a:ext cx="385114" cy="490817"/>
        </a:xfrm>
        <a:prstGeom prst="rect">
          <a:avLst/>
        </a:prstGeom>
      </xdr:spPr>
    </xdr:pic>
    <xdr:clientData/>
  </xdr:twoCellAnchor>
  <xdr:twoCellAnchor editAs="oneCell">
    <xdr:from>
      <xdr:col>1</xdr:col>
      <xdr:colOff>80682</xdr:colOff>
      <xdr:row>32</xdr:row>
      <xdr:rowOff>73964</xdr:rowOff>
    </xdr:from>
    <xdr:to>
      <xdr:col>1</xdr:col>
      <xdr:colOff>551489</xdr:colOff>
      <xdr:row>34</xdr:row>
      <xdr:rowOff>129927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37D00C6-01C3-49FD-9DEA-B57C24A8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357" y="8684564"/>
          <a:ext cx="474617" cy="478872"/>
        </a:xfrm>
        <a:prstGeom prst="rect">
          <a:avLst/>
        </a:prstGeom>
      </xdr:spPr>
    </xdr:pic>
    <xdr:clientData/>
  </xdr:twoCellAnchor>
  <xdr:twoCellAnchor editAs="oneCell">
    <xdr:from>
      <xdr:col>1</xdr:col>
      <xdr:colOff>615511</xdr:colOff>
      <xdr:row>32</xdr:row>
      <xdr:rowOff>71718</xdr:rowOff>
    </xdr:from>
    <xdr:to>
      <xdr:col>2</xdr:col>
      <xdr:colOff>246641</xdr:colOff>
      <xdr:row>34</xdr:row>
      <xdr:rowOff>132105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15DB2BFC-FA6B-413C-BC8D-E075EA29D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186" y="8682318"/>
          <a:ext cx="415990" cy="483296"/>
        </a:xfrm>
        <a:prstGeom prst="rect">
          <a:avLst/>
        </a:prstGeom>
      </xdr:spPr>
    </xdr:pic>
    <xdr:clientData/>
  </xdr:twoCellAnchor>
  <xdr:twoCellAnchor editAs="oneCell">
    <xdr:from>
      <xdr:col>1</xdr:col>
      <xdr:colOff>62753</xdr:colOff>
      <xdr:row>35</xdr:row>
      <xdr:rowOff>71811</xdr:rowOff>
    </xdr:from>
    <xdr:to>
      <xdr:col>1</xdr:col>
      <xdr:colOff>517503</xdr:colOff>
      <xdr:row>37</xdr:row>
      <xdr:rowOff>135813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4187AB8-2718-4411-8465-7CD87BAFB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428" y="9311061"/>
          <a:ext cx="450940" cy="479294"/>
        </a:xfrm>
        <a:prstGeom prst="rect">
          <a:avLst/>
        </a:prstGeom>
      </xdr:spPr>
    </xdr:pic>
    <xdr:clientData/>
  </xdr:twoCellAnchor>
  <xdr:twoCellAnchor editAs="oneCell">
    <xdr:from>
      <xdr:col>1</xdr:col>
      <xdr:colOff>585475</xdr:colOff>
      <xdr:row>35</xdr:row>
      <xdr:rowOff>62752</xdr:rowOff>
    </xdr:from>
    <xdr:to>
      <xdr:col>2</xdr:col>
      <xdr:colOff>283059</xdr:colOff>
      <xdr:row>37</xdr:row>
      <xdr:rowOff>174137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7787016-DFFD-4991-A231-F780BC3D7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150" y="9302002"/>
          <a:ext cx="482444" cy="526677"/>
        </a:xfrm>
        <a:prstGeom prst="rect">
          <a:avLst/>
        </a:prstGeom>
      </xdr:spPr>
    </xdr:pic>
    <xdr:clientData/>
  </xdr:twoCellAnchor>
  <xdr:twoCellAnchor>
    <xdr:from>
      <xdr:col>1</xdr:col>
      <xdr:colOff>69042</xdr:colOff>
      <xdr:row>38</xdr:row>
      <xdr:rowOff>53788</xdr:rowOff>
    </xdr:from>
    <xdr:to>
      <xdr:col>1</xdr:col>
      <xdr:colOff>520215</xdr:colOff>
      <xdr:row>40</xdr:row>
      <xdr:rowOff>134470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2C5D2496-7BFA-4C96-927E-F9F3B373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717" y="9921688"/>
          <a:ext cx="451173" cy="499782"/>
        </a:xfrm>
        <a:prstGeom prst="rect">
          <a:avLst/>
        </a:prstGeom>
      </xdr:spPr>
    </xdr:pic>
    <xdr:clientData/>
  </xdr:twoCellAnchor>
  <xdr:twoCellAnchor editAs="oneCell">
    <xdr:from>
      <xdr:col>1</xdr:col>
      <xdr:colOff>104374</xdr:colOff>
      <xdr:row>43</xdr:row>
      <xdr:rowOff>73204</xdr:rowOff>
    </xdr:from>
    <xdr:to>
      <xdr:col>1</xdr:col>
      <xdr:colOff>512316</xdr:colOff>
      <xdr:row>45</xdr:row>
      <xdr:rowOff>57629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10DFF6D-D4E9-4499-8598-48AC87165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49" y="12236629"/>
          <a:ext cx="411752" cy="285414"/>
        </a:xfrm>
        <a:prstGeom prst="rect">
          <a:avLst/>
        </a:prstGeom>
      </xdr:spPr>
    </xdr:pic>
    <xdr:clientData/>
  </xdr:twoCellAnchor>
  <xdr:twoCellAnchor editAs="oneCell">
    <xdr:from>
      <xdr:col>1</xdr:col>
      <xdr:colOff>589928</xdr:colOff>
      <xdr:row>43</xdr:row>
      <xdr:rowOff>64867</xdr:rowOff>
    </xdr:from>
    <xdr:to>
      <xdr:col>2</xdr:col>
      <xdr:colOff>210557</xdr:colOff>
      <xdr:row>45</xdr:row>
      <xdr:rowOff>55663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2AA19C9-9E0E-4357-8B85-3B70451E7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03" y="12228292"/>
          <a:ext cx="397869" cy="299405"/>
        </a:xfrm>
        <a:prstGeom prst="rect">
          <a:avLst/>
        </a:prstGeom>
      </xdr:spPr>
    </xdr:pic>
    <xdr:clientData/>
  </xdr:twoCellAnchor>
  <xdr:twoCellAnchor editAs="oneCell">
    <xdr:from>
      <xdr:col>9</xdr:col>
      <xdr:colOff>479150</xdr:colOff>
      <xdr:row>54</xdr:row>
      <xdr:rowOff>26328</xdr:rowOff>
    </xdr:from>
    <xdr:to>
      <xdr:col>10</xdr:col>
      <xdr:colOff>170291</xdr:colOff>
      <xdr:row>54</xdr:row>
      <xdr:rowOff>702348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26EE0EB-36FC-402E-9FCC-1A0EF3693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6" y="11973163"/>
          <a:ext cx="481633" cy="683640"/>
        </a:xfrm>
        <a:prstGeom prst="rect">
          <a:avLst/>
        </a:prstGeom>
      </xdr:spPr>
    </xdr:pic>
    <xdr:clientData/>
  </xdr:twoCellAnchor>
  <xdr:twoCellAnchor editAs="oneCell">
    <xdr:from>
      <xdr:col>11</xdr:col>
      <xdr:colOff>638083</xdr:colOff>
      <xdr:row>54</xdr:row>
      <xdr:rowOff>47620</xdr:rowOff>
    </xdr:from>
    <xdr:to>
      <xdr:col>12</xdr:col>
      <xdr:colOff>59635</xdr:colOff>
      <xdr:row>55</xdr:row>
      <xdr:rowOff>778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C1CFA3D8-62B4-4C86-B582-9C3465241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8413" y="11994455"/>
          <a:ext cx="607622" cy="683221"/>
        </a:xfrm>
        <a:prstGeom prst="rect">
          <a:avLst/>
        </a:prstGeom>
      </xdr:spPr>
    </xdr:pic>
    <xdr:clientData/>
  </xdr:twoCellAnchor>
  <xdr:twoCellAnchor editAs="oneCell">
    <xdr:from>
      <xdr:col>1</xdr:col>
      <xdr:colOff>695892</xdr:colOff>
      <xdr:row>41</xdr:row>
      <xdr:rowOff>31954</xdr:rowOff>
    </xdr:from>
    <xdr:to>
      <xdr:col>2</xdr:col>
      <xdr:colOff>129957</xdr:colOff>
      <xdr:row>41</xdr:row>
      <xdr:rowOff>474457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6344E86-58A8-4453-8FE0-602C7AA60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73" r="36248"/>
        <a:stretch/>
      </xdr:blipFill>
      <xdr:spPr>
        <a:xfrm>
          <a:off x="1143567" y="11014279"/>
          <a:ext cx="218925" cy="446313"/>
        </a:xfrm>
        <a:prstGeom prst="rect">
          <a:avLst/>
        </a:prstGeom>
      </xdr:spPr>
    </xdr:pic>
    <xdr:clientData/>
  </xdr:twoCellAnchor>
  <xdr:twoCellAnchor editAs="oneCell">
    <xdr:from>
      <xdr:col>1</xdr:col>
      <xdr:colOff>222212</xdr:colOff>
      <xdr:row>41</xdr:row>
      <xdr:rowOff>13111</xdr:rowOff>
    </xdr:from>
    <xdr:to>
      <xdr:col>1</xdr:col>
      <xdr:colOff>477834</xdr:colOff>
      <xdr:row>41</xdr:row>
      <xdr:rowOff>476578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A8CA66DF-2460-45EC-905F-06D01425F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9" r="35400"/>
        <a:stretch/>
      </xdr:blipFill>
      <xdr:spPr>
        <a:xfrm>
          <a:off x="669887" y="10995436"/>
          <a:ext cx="251812" cy="459657"/>
        </a:xfrm>
        <a:prstGeom prst="rect">
          <a:avLst/>
        </a:prstGeom>
      </xdr:spPr>
    </xdr:pic>
    <xdr:clientData/>
  </xdr:twoCellAnchor>
  <xdr:twoCellAnchor editAs="oneCell">
    <xdr:from>
      <xdr:col>1</xdr:col>
      <xdr:colOff>663200</xdr:colOff>
      <xdr:row>42</xdr:row>
      <xdr:rowOff>17973</xdr:rowOff>
    </xdr:from>
    <xdr:to>
      <xdr:col>2</xdr:col>
      <xdr:colOff>136151</xdr:colOff>
      <xdr:row>42</xdr:row>
      <xdr:rowOff>459441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E3DE792E-9C87-4579-83F7-4F7431B51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36" r="35142"/>
        <a:stretch/>
      </xdr:blipFill>
      <xdr:spPr>
        <a:xfrm>
          <a:off x="1110875" y="11590848"/>
          <a:ext cx="250191" cy="441468"/>
        </a:xfrm>
        <a:prstGeom prst="rect">
          <a:avLst/>
        </a:prstGeom>
      </xdr:spPr>
    </xdr:pic>
    <xdr:clientData/>
  </xdr:twoCellAnchor>
  <xdr:twoCellAnchor editAs="oneCell">
    <xdr:from>
      <xdr:col>1</xdr:col>
      <xdr:colOff>225570</xdr:colOff>
      <xdr:row>42</xdr:row>
      <xdr:rowOff>17248</xdr:rowOff>
    </xdr:from>
    <xdr:to>
      <xdr:col>1</xdr:col>
      <xdr:colOff>474457</xdr:colOff>
      <xdr:row>42</xdr:row>
      <xdr:rowOff>515283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8DEB88B8-A530-4E53-8B83-7727B4A6F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40" r="35079"/>
        <a:stretch/>
      </xdr:blipFill>
      <xdr:spPr>
        <a:xfrm>
          <a:off x="673245" y="11590123"/>
          <a:ext cx="252697" cy="494225"/>
        </a:xfrm>
        <a:prstGeom prst="rect">
          <a:avLst/>
        </a:prstGeom>
      </xdr:spPr>
    </xdr:pic>
    <xdr:clientData/>
  </xdr:twoCellAnchor>
  <xdr:twoCellAnchor>
    <xdr:from>
      <xdr:col>1</xdr:col>
      <xdr:colOff>117773</xdr:colOff>
      <xdr:row>52</xdr:row>
      <xdr:rowOff>72725</xdr:rowOff>
    </xdr:from>
    <xdr:to>
      <xdr:col>2</xdr:col>
      <xdr:colOff>185008</xdr:colOff>
      <xdr:row>52</xdr:row>
      <xdr:rowOff>483757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E2FD077-9885-4D02-964B-26C1B4219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448" y="12693350"/>
          <a:ext cx="848285" cy="411032"/>
        </a:xfrm>
        <a:prstGeom prst="rect">
          <a:avLst/>
        </a:prstGeom>
      </xdr:spPr>
    </xdr:pic>
    <xdr:clientData/>
  </xdr:twoCellAnchor>
  <xdr:twoCellAnchor>
    <xdr:from>
      <xdr:col>1</xdr:col>
      <xdr:colOff>616324</xdr:colOff>
      <xdr:row>23</xdr:row>
      <xdr:rowOff>67235</xdr:rowOff>
    </xdr:from>
    <xdr:to>
      <xdr:col>2</xdr:col>
      <xdr:colOff>201707</xdr:colOff>
      <xdr:row>25</xdr:row>
      <xdr:rowOff>179574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CF43562C-3543-484C-B7C1-63008E050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99" y="6763310"/>
          <a:ext cx="366433" cy="550489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38</xdr:row>
      <xdr:rowOff>44823</xdr:rowOff>
    </xdr:from>
    <xdr:to>
      <xdr:col>2</xdr:col>
      <xdr:colOff>218704</xdr:colOff>
      <xdr:row>40</xdr:row>
      <xdr:rowOff>142296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56021FD-DF67-4AEB-888C-159A29A26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9912723"/>
          <a:ext cx="428254" cy="516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35624</xdr:colOff>
      <xdr:row>0</xdr:row>
      <xdr:rowOff>61293</xdr:rowOff>
    </xdr:from>
    <xdr:ext cx="518358" cy="420526"/>
    <xdr:pic>
      <xdr:nvPicPr>
        <xdr:cNvPr id="2" name="Рисунок 1">
          <a:extLst>
            <a:ext uri="{FF2B5EF4-FFF2-40B4-BE49-F238E27FC236}">
              <a16:creationId xmlns:a16="http://schemas.microsoft.com/office/drawing/2014/main" id="{E684FC0E-F7BB-4F5E-8990-2328077A6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4" y="61293"/>
          <a:ext cx="518358" cy="420526"/>
        </a:xfrm>
        <a:prstGeom prst="rect">
          <a:avLst/>
        </a:prstGeom>
      </xdr:spPr>
    </xdr:pic>
    <xdr:clientData/>
  </xdr:oneCellAnchor>
  <xdr:twoCellAnchor editAs="oneCell">
    <xdr:from>
      <xdr:col>1</xdr:col>
      <xdr:colOff>80682</xdr:colOff>
      <xdr:row>7</xdr:row>
      <xdr:rowOff>110828</xdr:rowOff>
    </xdr:from>
    <xdr:to>
      <xdr:col>1</xdr:col>
      <xdr:colOff>596265</xdr:colOff>
      <xdr:row>9</xdr:row>
      <xdr:rowOff>155092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13E5163-3A1E-4E53-B8C0-9A1087C06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88" y="1509322"/>
          <a:ext cx="523203" cy="707652"/>
        </a:xfrm>
        <a:prstGeom prst="rect">
          <a:avLst/>
        </a:prstGeom>
      </xdr:spPr>
    </xdr:pic>
    <xdr:clientData/>
  </xdr:twoCellAnchor>
  <xdr:twoCellAnchor editAs="oneCell">
    <xdr:from>
      <xdr:col>1</xdr:col>
      <xdr:colOff>628940</xdr:colOff>
      <xdr:row>7</xdr:row>
      <xdr:rowOff>110828</xdr:rowOff>
    </xdr:from>
    <xdr:to>
      <xdr:col>1</xdr:col>
      <xdr:colOff>1203175</xdr:colOff>
      <xdr:row>9</xdr:row>
      <xdr:rowOff>174993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FD191D0-3579-4ABF-8102-6E4EB601C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646" y="1509322"/>
          <a:ext cx="583760" cy="72755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1247009</xdr:colOff>
      <xdr:row>7</xdr:row>
      <xdr:rowOff>98614</xdr:rowOff>
    </xdr:from>
    <xdr:to>
      <xdr:col>1</xdr:col>
      <xdr:colOff>1853788</xdr:colOff>
      <xdr:row>9</xdr:row>
      <xdr:rowOff>191511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3A3D965-A3C9-4BD9-8403-E33FEA6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715" y="1497108"/>
          <a:ext cx="614399" cy="756285"/>
        </a:xfrm>
        <a:prstGeom prst="rect">
          <a:avLst/>
        </a:prstGeom>
      </xdr:spPr>
    </xdr:pic>
    <xdr:clientData/>
  </xdr:twoCellAnchor>
  <xdr:twoCellAnchor editAs="oneCell">
    <xdr:from>
      <xdr:col>1</xdr:col>
      <xdr:colOff>1877292</xdr:colOff>
      <xdr:row>7</xdr:row>
      <xdr:rowOff>98612</xdr:rowOff>
    </xdr:from>
    <xdr:to>
      <xdr:col>1</xdr:col>
      <xdr:colOff>2573430</xdr:colOff>
      <xdr:row>9</xdr:row>
      <xdr:rowOff>203501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8674F6-EC1D-43E7-AF5F-4E715A102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8" y="1497106"/>
          <a:ext cx="688518" cy="760657"/>
        </a:xfrm>
        <a:prstGeom prst="rect">
          <a:avLst/>
        </a:prstGeom>
      </xdr:spPr>
    </xdr:pic>
    <xdr:clientData/>
  </xdr:twoCellAnchor>
  <xdr:twoCellAnchor editAs="oneCell">
    <xdr:from>
      <xdr:col>3</xdr:col>
      <xdr:colOff>502024</xdr:colOff>
      <xdr:row>11</xdr:row>
      <xdr:rowOff>53788</xdr:rowOff>
    </xdr:from>
    <xdr:to>
      <xdr:col>4</xdr:col>
      <xdr:colOff>437440</xdr:colOff>
      <xdr:row>11</xdr:row>
      <xdr:rowOff>930813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9EC7FED-E8EB-40D8-9966-63966B5CA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5436" y="2725270"/>
          <a:ext cx="670522" cy="8770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579.749510185182" createdVersion="7" refreshedVersion="7" minRefreshableVersion="3" recordCount="7696" xr:uid="{803FFC61-884F-4643-808C-055A3C5889E1}">
  <cacheSource type="external" connectionId="9"/>
  <cacheFields count="12">
    <cacheField name="CKU" numFmtId="0">
      <sharedItems containsBlank="1"/>
    </cacheField>
    <cacheField name="Серия" numFmtId="0">
      <sharedItems count="10">
        <s v="Прайм"/>
        <s v="Экспресс"/>
        <s v="Эста"/>
        <s v="Локер"/>
        <s v="Прайм Широкий"/>
        <s v="Угловой Экспресс"/>
        <s v="Лайт"/>
        <s v="Турин" u="1"/>
        <s v="Экспресс Хит" u="1"/>
        <s v="Турин Широкий" u="1"/>
      </sharedItems>
    </cacheField>
    <cacheField name="Тип_шкафа" numFmtId="0">
      <sharedItems count="10">
        <s v="3-х дверный купе"/>
        <s v="2-х дверный купе"/>
        <s v="Распашной"/>
        <s v="Угловой Распашной"/>
        <s v="Широкий Прайм 3х" u="1"/>
        <s v="2-х дверный" u="1"/>
        <s v="3-х дверный" u="1"/>
        <s v="Складной" u="1"/>
        <s v="Прайм 2х" u="1"/>
        <s v="Прайм 3х" u="1"/>
      </sharedItems>
    </cacheField>
    <cacheField name="Вариант исполнения шкафа" numFmtId="0">
      <sharedItems count="2">
        <s v="Белый снег"/>
        <s v="Бетон"/>
      </sharedItems>
    </cacheField>
    <cacheField name="Ширина" numFmtId="0">
      <sharedItems containsSemiMixedTypes="0" containsString="0" containsNumber="1" containsInteger="1" minValue="600" maxValue="3000" count="15">
        <n v="1800"/>
        <n v="1200"/>
        <n v="2400"/>
        <n v="2200"/>
        <n v="1600"/>
        <n v="1400"/>
        <n v="2100"/>
        <n v="2000"/>
        <n v="2700"/>
        <n v="3000"/>
        <n v="900"/>
        <n v="1000"/>
        <n v="800"/>
        <n v="600" u="1"/>
        <n v="1207" u="1"/>
      </sharedItems>
    </cacheField>
    <cacheField name="Высота" numFmtId="0">
      <sharedItems containsSemiMixedTypes="0" containsString="0" containsNumber="1" containsInteger="1" minValue="440" maxValue="2400" count="7">
        <n v="2300"/>
        <n v="2400"/>
        <n v="440"/>
        <n v="600"/>
        <n v="2200"/>
        <n v="2120"/>
        <n v="1900" u="1"/>
      </sharedItems>
    </cacheField>
    <cacheField name="Глубина" numFmtId="0">
      <sharedItems containsSemiMixedTypes="0" containsString="0" containsNumber="1" containsInteger="1" minValue="440" maxValue="2400" count="15">
        <n v="570"/>
        <n v="600"/>
        <n v="1200"/>
        <n v="1400"/>
        <n v="2100"/>
        <n v="1800"/>
        <n v="440"/>
        <n v="660"/>
        <n v="2400"/>
        <n v="1600"/>
        <n v="525"/>
        <n v="900"/>
        <n v="595"/>
        <n v="580" u="1"/>
        <n v="530" u="1"/>
      </sharedItems>
    </cacheField>
    <cacheField name="Наименование шкафа на сайте" numFmtId="0">
      <sharedItems count="656">
        <s v="Прайм 3-х дверный (Стекло черное, ЛДСП) окутанный"/>
        <s v="Экспресс 2 2-х дверный (ЛДСП)"/>
        <s v="Экспресс 2 2-х дверный (Абстракция серая)"/>
        <s v="Экспресс 2 2-х дверный (Абстракция бело-голубая)"/>
        <s v="Экспресс 2 3-х дверный (Пионы)"/>
        <s v="Экспресс 2 3-х дверный (ЛДСП, Зеркало)"/>
        <s v="Экспресс 2 3-х дверный (Фиолетовый дым)"/>
        <s v="Экспресс 2-х дверный (ЛДСП, Зеркало)"/>
        <s v="Экспресс 2-х дверный (Фото№1006 Абстракция оранжево-голубая)"/>
        <s v="Экспресс 2-х дверный (Фото№1011 Фиолетовый дым)"/>
        <s v="Экспресс 2-х дверный (Фото№1020 Пионы)"/>
        <s v="Экспресс 3-х дверный (Зеркало)"/>
        <s v="Экспресс 3-х дверный (Фото№1001 Абстракция серая)"/>
        <s v="Экспресс 3-х дверный (Фото№1005 Абстракция розовая)"/>
        <s v="Экспресс 3-х дверный (Фото№1018 Абстракция фиолетово-золотая)"/>
        <s v="Экспресс 3-х дверный (Фото№1023 Сакура)"/>
        <s v="Экспресс 3-х дверный (Фото№1026 Ночной Лондон)"/>
        <s v="Эста 2-х дверный Комби (4 Белых стекла / 4 Зеркала бронза)"/>
        <s v="Эста 2-х дверный Комби (4 Белых стекла / 4 Стекла Барокко)"/>
        <s v="Экспресс 3-х дверный (Фото№1025 Орхидея белая)"/>
        <s v="Эста 2-х дверный Комби (4 Белых стекла / 4 Черных стекла Диско)"/>
        <s v="Эста 2-х дверный (8 Зеркал бронза)"/>
        <s v="Экспресс 3-х дверный (Фото№1014 Закат над городом)"/>
        <s v="Экспресс 3-х дверный (Фото№1017 Буквы)"/>
        <s v="Экспресс 3-х дверный (Фото№1022 Улица)"/>
        <s v="Экспресс 3-х дверный (Фото№1008 Ночная магистраль)"/>
        <s v="Экспресс 3-х дверный (Фото№1013 Золотой орнамент)"/>
        <s v="Экспресс 3-х дверный (Фото№1004 Джунгли темные)"/>
        <s v="Экспресс 2-х дверный (Фото№1026 Ночной Лондон)"/>
        <s v="Экспресс 2-х дверный Комби (Зеркало, ЛДСП)"/>
        <s v="Экспресс 2-х дверный (Фото№1023 Сакура)"/>
        <s v="Экспресс 2-х дверный (Фото№1024 Париж)"/>
        <s v="Экспресс 2-х дверный (Фото№1018 Абстракция фиолетово-золотая)"/>
        <s v="Экспресс 2-х дверный (Фото№1017 Буквы)"/>
        <s v="Экспресс 2-х дверный (Фото№1014 Закат над городом)"/>
        <s v="Экспресс 2-х дверный (Фото№1015 Морские волны)"/>
        <s v="Экспресс 2-х дверный (Фото№1008 Ночная магистраль)"/>
        <s v="Экспресс 2-х дверный (Фото№1010 Абстракция бело-голубая)"/>
        <s v="Экспресс 2-х дверный (Фото№1004 Джунгли темные)"/>
        <s v="Экспресс 2-х дверный (Фото№1005 Абстракция розовая)"/>
        <s v="Экспресс 2-х дверный (Фото№1002 Абстракция фиолетовая)"/>
        <s v="Экспресс 2-х дверный (ЛДСП)"/>
        <s v="Экспресс 2-х дверный (Фото№1003 Листья золото)"/>
        <s v="Экспресс 2 3-х дверный (Париж)"/>
        <s v="Экспресс 2 3-х дверный (Сакура)"/>
        <s v="Экспресс 2 3-х дверный (Улица)"/>
        <s v="Экспресс 2 3-х дверный (Шары)"/>
        <s v="Экспресс 2 3-х дверный (Шелк)"/>
        <s v="Экспресс 2 3-х дверный (Абстракция бело-голубая)"/>
        <s v="Экспресс 2 3-х дверный (Абстракция серая)"/>
        <s v="Экспресс 2 3-х дверный (Абстракция фиолетовая)"/>
        <s v="Экспресс 2 3-х дверный (Абстракция фиолетово-золотая)"/>
        <s v="Экспресс 2 3-х дверный (Калейдоскоп)"/>
        <s v="Экспресс 2 3-х дверный (Квадраты)"/>
        <s v="Экспресс 2 3-х дверный (Ленты)"/>
        <s v="Экспресс 2 3-х дверный (Листья золото)"/>
        <s v="Экспресс 2 3-х дверный (Зеркало)"/>
        <s v="Экспресс 2 3-х дверный (Зеркало, ЛДСП)"/>
        <s v="Экспресс 2 3-х дверный (ЛДСП)"/>
        <s v="Экспресс 2 3-х дверный (Морские волны)"/>
        <s v="Экспресс 2 3-х дверный (Ночной Лондон)"/>
        <s v="Экспресс 2 3-х дверный (Ночной мост)"/>
        <s v="Экспресс 2 3-х дверный (Орхидея белая)"/>
        <s v="Экспресс 2 2-х дверный (Абстракция фиолетовая)"/>
        <s v="Экспресс 2 2-х дверный (Абстракция фиолетово-золотая)"/>
        <s v="Экспресс 2 2-х дверный (Калейдоскоп)"/>
        <s v="Экспресс 2 2-х дверный (Квадраты)"/>
        <s v="Экспресс 2 2-х дверный (Ленты)"/>
        <s v="Экспресс 2 2-х дверный (Листья золото)"/>
        <s v="Экспресс 2 2-х дверный (Морские волны)"/>
        <s v="Экспресс 2 2-х дверный (Ночной Лондон)"/>
        <s v="Экспресс 2 2-х дверный (Ночной мост)"/>
        <s v="Экспресс 2 2-х дверный (Орхидея белая)"/>
        <s v="Экспресс 2 2-х дверный (Париж)"/>
        <s v="Экспресс 2 2-х дверный (Пионы)"/>
        <s v="Экспресс 2 2-х дверный (Сакура)"/>
        <s v="Экспресс 2 2-х дверный (Улица)"/>
        <s v="Экспресс 2 2-х дверный (Фиолетовый дым)"/>
        <s v="Экспресс 2 2-х дверный (Шары)"/>
        <s v="Экспресс 2 2-х дверный (Шелк)"/>
        <s v="Прайм 3-х дверный (Фото - Калейдоскоп)"/>
        <s v="Прайм 3-х дверный (Фото - Плетение)"/>
        <s v="Прайм 3-х дверный (Фото - Ромбы)"/>
        <s v="Прайм 3-х дверный (Фото - Шары пастельные)"/>
        <s v="Прайм 3-х дверный (Фото - Шелк)"/>
        <s v="Прайм 2-х дверный (Фото - Калейдоскоп)"/>
        <s v="Прайм 2-х дверный (Фото - Плетение)"/>
        <s v="Прайм 2-х дверный (Фото - Ромбы)"/>
        <s v="Прайм 3-дверный (Зеркало, ЛДСП) окутанный"/>
        <s v="Прайм 3-дверный (ЛДСП) окутанный"/>
        <s v="Прайм 3-дверный (ЛДСП, Зеркало) окутанный"/>
        <s v="Прайм 3-х дверный (ЛДСП, Стекло белое) окутанный"/>
        <s v="Прайм 3-х дверный (ЛДСП, Стекло пудра) окутанный"/>
        <s v="Экспресс 2 2-х дверный (ЛДСП, Зеркало)"/>
        <s v="Экспресс 2 2-х дверный (Зеркало)"/>
        <s v="Широкий Экспресс 2 2-х дверный (Зеркало)"/>
        <s v="Широкий Экспресс 2 2-х дверный (ЛДСП)"/>
        <s v="Прайм 3-х дверный (ЛДСП, Стекло фисташка) окутанный"/>
        <s v="Широкий Экспресс 2 2-х дверный (ЛДСП, Зеркало)"/>
        <s v="Прайм 2-дверный (ЛДСП) окутанный"/>
        <s v="Прайм 2-дверный (ЛДСП, Зеркало) окутанный"/>
        <s v="Прайм 2-х дверный (ЛДСП, Стекло белое) окутанный"/>
        <s v="Прайм 2-х дверный (ЛДСП, Стекло пудра) окутанный"/>
        <s v="Прайм 2-х дверный (ЛДСП, Стекло фисташка) окутанный"/>
        <s v="Прайм 2-х дверный (ЛДСП, Стекло хаки) окутанный"/>
        <s v="Прайм 2-х дверный (ЛДСП, Стекло черное) окутанный"/>
        <s v="Прайм 2-х дверный (Фото - Шары пастельные)"/>
        <s v="Прайм 2-х дверный (Фото - Шелк)"/>
        <s v="Прайм 3-х дверный (ЛДСП, Стекло хаки) окутанный"/>
        <s v="Прайм 3-х дверный (ЛДСП, Стекло черное) окутанный"/>
        <s v="Прайм 3-х дверный (Стекло белое, ЛДСП) окутанный"/>
        <s v="Прайм 3-х дверный (Стекло пудра, ЛДСП) окутанный"/>
        <s v="Прайм 3-х дверный (Стекло фисташка, ЛДСП) окутанный"/>
        <s v="Прайм 3-х дверный (Стекло хаки, ЛДСП) окутанный"/>
        <s v="Локер 2-х дверный (Распашной)"/>
        <s v="Экспресс 2-х дверный (Фото№1022 Улица)"/>
        <s v="Экспресс 3-х дверный (Фото№1007 Ночной мост)"/>
        <s v="Эста 2-х дверный Комби (4 Стекла Барокко / 4 ЛДСП)"/>
        <s v="Эста 2-х дверный Комби (4 Черных стекла Диско / 4 Зеркала)"/>
        <s v="Эста 2-х дверный Комби (4 Черных стекла Диско / 4 Стекла Лабиринт)"/>
        <s v="Эста 2-х дверный Медиум (4 Зеркала / 4 Стекла Барокко)"/>
        <s v="Эста 2-х дверный Медиум (4 Зеркала / 4 Черный стекла Диско)"/>
        <s v="Эста 2-х дверный Медиум (4 ЛДСП / 4 Зеркала)"/>
        <s v="Эста 2-х дверный Медиум (4 Черных стекла / 4 Черных стекла Диско)"/>
        <s v="Эста 2-х дверный полоса горизонтальная (2 из 4) (6 Белых стекол / 2 Стекла Магнолия)"/>
        <s v="Эста 2-х дверный полоса горизонтальная (2 из 4) (6 Белых стекол / 2 Черных стекол)"/>
        <s v="Эста 2-х дверный полоса горизонтальная (2 из 4) (6 Белых стекол Диско / 2 Стекла Магнолия)"/>
        <s v="Эста 2-х дверный полоса горизонтальная (2 из 4) (6 Зеркало / 2 Белых стекол)"/>
        <s v="Эста 2-х дверный полоса горизонтальная (2 из 4) (6 ЛДСП / 2 Зеркало)"/>
        <s v="Эста 2-х дверный полоса горизонтальная (2 из 4) (6 ЛДСП / 2 Стекло черное)"/>
        <s v="Эста 2-х дверный полоса горизонтальная (2 из 4) (6 ЛДСП / 2 Черный стекло Диско)"/>
        <s v="Эста 2-х дверный полоса горизонтальная (2 из 4) (6 Стекол Лабиринт / 2 ЛДСП)"/>
        <s v="Эста 2-х дверный полоса горизонтальная (2 из 4) (6 Стекол Лабиринт / 2 Стекла Магнолия)"/>
        <s v="Эста 2-х дверный полоса горизонтальная (2 из 4) (6 Черных стекол / 2 Черных стекла Диско)"/>
        <s v="Эста 2-х дверный полоса горизонтальная (2 из 4) (6 Черных стекол Диско / 2 Белых стекла Диско)"/>
        <s v="Эста 2-х дверный полоса горизонтальная (2 из 4) (6 Черных стекол Диско / 2 Зеркала)"/>
        <s v="Эста 2-х дверный полоса горизонтальная (2 из 4) (6 Черных стекол Диско / 2 Стекла Лабиринт)"/>
        <s v="Эста 2-х дверный полоса горизонтальная (3 из 4) (6 Белых стекол / 2 Зеркала)"/>
        <s v="Эста 2-х дверный полоса горизонтальная (3 из 4) (6 Белых стекол / 2 Черный стекла Диско)"/>
        <s v="Эста 2-х дверный полоса горизонтальная (3 из 4) (6 Белых стекол Диско / 2 Стекла Лабиринт)"/>
        <s v="Эста 2-х дверный полоса горизонтальная (3 из 4) (6 Белых стекол Диско / 2 Черных стекла Диско)"/>
        <s v="Эста 2-х дверный полоса горизонтальная (3 из 4) (6 Белых стекол Диско / 2 Черных стекла)"/>
        <s v="Эста 2-х дверный полоса горизонтальная (3 из 4) (6 Зеркал / 2 Стекла Магнолия)"/>
        <s v="Эста 2-х дверный полоса горизонтальная (3 из 4) (6 ЛДСП / 2 Белых стекла)"/>
        <s v="Эста 2-х дверный полоса горизонтальная (3 из 4) (6 ЛДСП / 2 Стекла Магнолия)"/>
        <s v="Эста 2-х дверный полоса горизонтальная (3 из 4) (6 Стекол Лабиринт / 2 Зеркала)"/>
        <s v="Эста 2-х дверный полоса горизонтальная (3 из 4) (6 Стекол Магнолия / 2 Белых стекла Диско)"/>
        <s v="Эста 2-х дверный полоса горизонтальная (3 из 4) (6 Стекол Магнолия / 2 Белых стекла)"/>
        <s v="Эста 2-х дверный полоса горизонтальная (3 из 4) (6 Стекол Магнолия / 2 Зеркала)"/>
        <s v="Эста 2-х дверный полоса горизонтальная (3 из 4) (6 Черных стекол / 2 ЛДСП)"/>
        <s v="Эста 2-х дверный полоса горизонтальная (3 из 4) (6 Черных стекол / 2 Стекла Лабиринт)"/>
        <s v="Эста 2-х дверный полоса горизонтальная (3 из 4) (6 Черных стекол Диско / 2 Зеркала)"/>
        <s v="Эста 2-х дверный полоса горизонтальная (3 из 4) (6 Черных стекол Диско / 2 ЛДСП)"/>
        <s v="Эста 2-х дверный Шашка (4 Белых стекла / 4 Белых стекла Диско)"/>
        <s v="Эста 2-х дверный Шашка (4 Белых стекла / 4 Стекло Лабиринт)"/>
        <s v="Эста 2-х дверный Шашка (4 ЛДСП / 4 Стекла Магнолия)"/>
        <s v="Эста 2-х дверный Шашка (4 Стекла Магнолия / 4 Стекла Лабиринт)"/>
        <s v="Эста 2-х дверный Шашка (4 Черных стекла Диско / 4 Стекла Магнолия)"/>
        <s v="Эста 3-х дверный Комби (6 Белых стекол / 6 ЛДСП)"/>
        <s v="Эста 3-х дверный Комби (6 Белых стекол / 6 Стекол Барокко)"/>
        <s v="Эста 3-х дверный Комби (6 Белых стекол / 6 Стекол Магнолия)"/>
        <s v="Эста 3-х дверный Комби (6 Белых стекол / 6 Черных стекол Диско)"/>
        <s v="Эста 3-х дверный Комби (6 Белых стекол Диско / 6 ЛДСП)"/>
        <s v="Эста 3-х дверный Комби (6 Белых стекол Диско / 6 Стекол Лабиринт)"/>
        <s v="Эста 3-х дверный Комби (6 Зеркал / 6 Черных стекол Диско)"/>
        <s v="Эста 3-х дверный Комби (6 Зеркал / 6 Черных стекол)"/>
        <s v="Эста 3-х дверный Комби (6 Зеркал бронза / 6 Белых стекол)"/>
        <s v="Эста 3-х дверный Комби (6 Зеркал бронза / 6 ЛДСП)"/>
        <s v="Эста 3-х дверный Комби (6 Зеркал бронза / 6 Стекол Лабиринт)"/>
        <s v="Эста 3-х дверный Комби (6 Зеркал бронза / 6 Стекол Магнолия)"/>
        <s v="Эста 3-х дверный Комби (6 Зеркал бронза / 6 Черных стекол)"/>
        <s v="Эста 3-х дверный Комби (6 ЛДСП / 6 Зеркал бронза)"/>
        <s v="Эста 3-х дверный Комби (6 Стекол Магнолия / 6 Стекол Лабиринт)"/>
        <s v="Эста 3-х дверный Комби (6 Черных стекол / 6 Белых стекол Диско)"/>
        <s v="Эста 3-х дверный Комби (6 Черных стекол / 6 Зеркал бронза)"/>
        <s v="Эста 3-х дверный Комби (6 Черных стекол Диско / 6 ЛДСП)"/>
        <s v="Эста 3-х дверный Комби (6 Черных стекол Диско / 6 Стекол Магнолия)"/>
        <s v="Эста 3-х дверный Медиум (4 посредине) (4 Белых стекла / 8 Стекол Лабиринт)"/>
        <s v="Эста 3-х дверный Медиум (4 посредине) (4 Белых стекла / 8 Стекол Магнолия)"/>
        <s v="Эста 3-х дверный Медиум (4 посредине) (4 Белых стекла / 8 Черных стекол Диско)"/>
        <s v="Эста 3-х дверный Медиум (4 посредине) (4 Белых стекла / 8 Черных стекол)"/>
        <s v="Эста 3-х дверный Медиум (4 посредине) (4 Зеркала / 8 Белых стекол)"/>
        <s v="Эста 3-х дверный Медиум (4 посредине) (4 Зеркала бронза / 8 Стекол Лабиринт)"/>
        <s v="Эста 3-х дверный Медиум (4 посредине) (4 Зеркала бронза / 8 Черных стекол)"/>
        <s v="Эста 3-х дверный Медиум (4 посредине) (4 ЛДСП / 8 Белых стекол Диско)"/>
        <s v="Эста 3-х дверный Медиум (4 посредине) (4 ЛДСП / 8 Стекол Магнолия)"/>
        <s v="Эста 3-х дверный Медиум (4 посредине) (4 ЛДСП / 8 Черных стекол)"/>
        <s v="Эста 3-х дверный Медиум (4 посредине) (4 Стекла Барокко / 8 Белых стекол)"/>
        <s v="Эста 3-х дверный Медиум (4 посредине) (4 Стекла Лабиринт / 8 Зеркал бронза)"/>
        <s v="Эста 3-х дверный Медиум (4 посредине) (4 Стекла Магнолия / 8 Зеркал бронза)"/>
        <s v="Эста 3-х дверный Медиум (4 посредине) (4 Стекла Магнолия / 8 ЛДСП)"/>
        <s v="Эста 3-х дверный Медиум (4 посредине) (4 Стекла Магнолия / 8 Стекол Лабиринт)"/>
        <s v="Эста 3-х дверный Медиум (4 посредине) (4 Черных стекла / 8 Белых стекол)"/>
        <s v="Эста 3-х дверный Медиум (4 посредине) (4 Черных стекла / 8 Черных стекол Диско)"/>
        <s v="Эста 3-х дверный Медиум (4 посредине) (4 Черных стекла Диско / 8 Зеркал бронза Квадрат)"/>
        <s v="Эста 3-х дверный Медиум (4 посредине) (4 Черных стекла Диско / 8 Зеркал Квадрат)"/>
        <s v="Эста 3-х дверный Медиум (4 посредине) (4 Черных стекла Диско / 8 Зеркал)"/>
        <s v="Эста 3-х дверный Медиум (4 посредине) (4 Черных стекла Диско / 8 ЛДСП)"/>
        <s v="Эста 3-х дверный Медиум (4 посредине) (4 Черных стекла Диско / 8 Стекол Лабиринт)"/>
        <s v="Эста 3-х дверный Цельный (12 Стекол Барокко)"/>
        <s v="Эста 3-х дверный Цельный (12 Стекол Лабиринт)"/>
        <s v="Эста 3-х дверный Шашка (6 Белых стекол / 6 Белых стекол Диско)"/>
        <s v="Эста 3-х дверный Шашка (6 Белых стекол / 6 Стекол Магнолия)"/>
        <s v="Эста 3-х дверный Шашка (6 Белых стекол Диско / 6 Стекол Лабиринт)"/>
        <s v="Эста 3-х дверный Шашка (6 Белых стекол Диско / 6 Стекол Магнолия)"/>
        <s v="Эста 3-х дверный Шашка (6 Белых стекол Диско / 6 Черных стекол Диско)"/>
        <s v="Эста 3-х дверный Шашка (6 Зеркал / 6 Белых стекол Диско)"/>
        <s v="Эста 3-х дверный Шашка (6 Зеркал / 6 Белых стекол)"/>
        <s v="Эста 3-х дверный Шашка (6 Зеркал / 6 Стекол Лабиринт)"/>
        <s v="Эста 3-х дверный Шашка (6 Зеркал / 6 Черных стекол Диско)"/>
        <s v="Эста 3-х дверный Шашка (6 ЛДСП / 6 Белых стекол)"/>
        <s v="Эста 3-х дверный Шашка (6 ЛДСП / 6 Зеркал)"/>
        <s v="Эста 3-х дверный Шашка (6 ЛДСП / 6 стекла Барокко)"/>
        <s v="Эста 3-х дверный Шашка (6 ЛДСП / 6 Стекол Лабиринт)"/>
        <s v="Эста 3-х дверный Шашка (6 ЛДСП / 6 Черных стекол Диско)"/>
        <s v="Эста 3-х дверный Шашка (6 ЛДСП / 6 Черных стекол)"/>
        <s v="Эста 3-х дверный Шашка (6 Черных стекол / 6 Белых стекол Диско)"/>
        <s v="Эста 3-х дверный Шашка (6 Черных стекол / 6 Стекол Лабиринт)"/>
        <s v="Эста 3-х дверный Шашка (6 Черных стекол / 6 Стекол Магнолия)"/>
        <s v="Эста 3-х дверный Шашка (6 Черных стекол / 6 Черных стекол Диско)"/>
        <s v="Прайм 2-х дверный (Зеркало, Черное стекло)"/>
        <s v="Прайм 2-х дверный (ЛДСП, Белое стекло)"/>
        <s v="Прайм 3-х дверный (Зеркало, Белое стекло)"/>
        <s v="Прайм 3-х дверный (ЛДСП, Зеркало)"/>
        <s v="Широкий Прайм 3-х дверный (Стекло белое/Зеркало)"/>
        <s v="Прайм 3-х дверный (Зеркало, Черное стекло)"/>
        <s v="Широкий Экспресс 2-х дверный (Зеркало, ЛДСП)"/>
        <s v="Прайм 2-х дверный Комби (ДСП/Зеркало)"/>
        <s v="Прайм 3-х дверный Комби (Стекло черное/Стекло белое)"/>
        <s v="Широкий Прайм 3-х дверный Комби (Зеркало/Стекло черное)"/>
        <s v="Широкий Прайм 3-х дверный Комби (Стекло белое/ДСП)"/>
        <s v="Широкий Прайм 3-х дверный Комби (Стекло черное/Стекло белое)"/>
        <s v="Прайм 3-х дверный Комби (Стекло черное/Зеркало)"/>
        <s v="Широкий Прайм 3-х дверный Комби (Стекло белое/Зеркало)"/>
        <s v="Прайм 3-х дверный Комби (ДСП/Стекло черное)"/>
        <s v="Прайм 3-х дверный Комби (Зеркало/Стекло белое)"/>
        <s v="Прайм 3-х дверный Комби (Стекло белое/Зеркало)"/>
        <s v="Широкий Прайм 3-х дверный Комби (ДСП/Зеркало)"/>
        <s v="Широкий Прайм 3-х дверный Комби (Зеркало/Стекло белое)"/>
        <s v="Широкий Прайм 3-х дверный Комби (Стекло белое/Стекло черное)"/>
        <s v="Широкий Прайм 3-х дверный Комби (Стекло черное/Зеркало)"/>
        <s v="Прайм 2-х дверный Комби (Стекло черное/Зеркало)"/>
        <s v="Прайм 2-х дверный Комби (Зеркало/Стекло черное)"/>
        <s v="Прайм 2-х дверный Комби (Стекло черное/Стекло белое)"/>
        <s v="Прайм 3-х дверный Комби (ДСП/Стекло белое)"/>
        <s v="Широкий Прайм 3-х дверный Комби (Стекло черное/ДСП)"/>
        <s v="Прайм 3-х дверный Комби (Зеркало/Стекло черное)"/>
        <s v="Прайм 3-х дверный Комби (Стекло белое/Стекло черное)"/>
        <s v="Прайм 3-х дверный Комби (Зеркало/ДСП)"/>
        <s v="Прайм 3-х дверный Комби (Стекло белое/ДСП)"/>
        <s v="Прайм 3-х дверный Комби (Стекло черное/ДСП)"/>
        <s v="Широкий Прайм 3-х дверный Комби (ДСП/Стекло белое)"/>
        <s v="Широкий Прайм 3-х дверный Комби (ДСП/Стекло черное)"/>
        <s v="Широкий Прайм 3-х дверный Комби (Зеркало/ДСП)"/>
        <s v="Прайм 2-х дверный Комби (ДСП/Стекло черное)"/>
        <s v="Широкий Прайм 3-х дверный (3 секции ДСП/стекло черное)"/>
        <s v="Прайм 2-х дверный Комби (Зеркало/ДСП)"/>
        <s v="Прайм 2-х дверный Комби (Стекло белое/Зеркало)"/>
        <s v="Прайм 2-х дверный Комби (Стекло белое/ДСП)"/>
        <s v="Прайм 2-х дверный Комби (Стекло белое/Стекло черное)"/>
        <s v="Прайм 2-х дверный Комби (Стекло черное/ДСП)"/>
        <s v="Прайм 3-х дверный Комби (ДСП/Зеркало)"/>
        <s v="Широкий Прайм 3-х дверный (Стекло белое/ЛДСП)"/>
        <s v="Широкий Прайм 3-х дверный (Стекло белое/Стекло черное)"/>
        <s v="Прайм 3-х дверный (Черное стекло)"/>
        <s v="Прайм 2-х дверный (3 секции ДСП/стекло белое)"/>
        <s v="Широкий Прайм 2-х дверный (3 секции ДСП/стекло черное)"/>
        <s v="Экспресс Хит 2-х дверный (Зеркало)"/>
        <s v="Экспресс Хит 2-х дверный Комби (ЛДСП, Зеркало)"/>
        <s v="Широкий Экспресс 2-х дверный (ЛДСП)"/>
        <s v="Прайм 2-х дверный Комби (ДСП/Стекло белое)"/>
        <s v="Прайм 2-х дверный Комби (Зеркало/Стекло белое)"/>
        <s v="Прайм 3-х дверный (Белое стекло, Зеркало)"/>
        <s v="Прайм 2-х дверный (ЛДСП)"/>
        <s v="Прайм 3-х дверный (Черное стекло, ЛДСП)"/>
        <s v="Широкий Прайм 3-х дверный (Стекло черное)"/>
        <s v="Прайм 3-х дверный (Зеркало, ЛДСП)"/>
        <s v="Прайм 3-х дверный (ЛДСП, Черное стекло)"/>
        <s v="Широкий Прайм 3-х дверный (Зеркало)"/>
        <s v="Широкий Прайм 3-х дверный (Зеркало/ЛДСП)"/>
        <s v="Широкий Прайм 3-х дверный (ЛДСП/Стекло черное)"/>
        <s v="Широкий Прайм 3-х дверный (Стекло белое)"/>
        <s v="Широкий Прайм 3-х дверный (Стекло черное/Зеркало)"/>
        <s v="Широкий Прайм 3-х дверный (Стекло черное/ЛДСП)"/>
        <s v="Прайм 2-х дверный (3 секции ДСП/стекло черное)"/>
        <s v="Широкий Прайм 2-х дверный (3 секции ДСП/стекло белое)"/>
        <s v="Экспресс Хит 2-х дверный (Фото№1025 Орхидея белая)"/>
        <s v="Широкий Прайм 3-х дверный (3 секции ДСП/стекло белое)"/>
        <s v="Экспресс Хит 2-х дверный (ЛДСП, Зеркало)"/>
        <s v="Экспресс Хит 2-х дверный (ЛДСП)"/>
        <s v="Широкий Экспресс 2-х дверный (Зеркало)"/>
        <s v="Прайм 2-х дверный (ЛДСП, Черное стекло)"/>
        <s v="Прайм 2-х дверный (Зеркало, Белое стекло)"/>
        <s v="Прайм 3-х дверный (Белое стекло, ЛДСП)"/>
        <s v="Прайм 3-х дверный (Зеркало)"/>
        <s v="Широкий Прайм 3-х дверный (Стекло черное/Стекло белое)"/>
        <s v="Прайм 3-х дверный (ЛДСП, Белое стекло)"/>
        <s v="Прайм 3-х дверный (ЛДСП)"/>
        <s v="Широкий Прайм 3-х дверный (Зеркало/Стекло белое)"/>
        <s v="Широкий Прайм 3-х дверный (Зеркало/Стекло черное)"/>
        <s v="Широкий Прайм 3-х дверный (ЛДСП)"/>
        <s v="Прайм 3-х дверный (Черное стекло, Зеркало)"/>
        <s v="Широкий Прайм 3-х дверный (ЛДСП/Зеркало)"/>
        <s v="Широкий Прайм 3-х дверный (ЛДСП/Стекло белое)"/>
        <s v="Эста 3-х дверный Шашка (6 Черных стекол Диско / 6 Стекол Магнолия)"/>
        <s v="Эста 3-х дверный Шашка (6 Черных стекол Диско / 6 Стекол Лабиринт)"/>
        <s v="Прайм 2-х дверный (Белое стекло)"/>
        <s v="Экспресс Угловой"/>
        <s v="Прайм 3-х дверный (Белое стекло)"/>
        <s v="Прайм 2-х дверный (Черное стекло)"/>
        <s v="Прайм 2-х дверный (Зеркало)"/>
        <s v="Прайм 2-х дверный (ЛДСП, Зеркало)"/>
        <s v="Эста 3-х дверный Шашка (6 Стекол Магнолия / 6 Стекол Лабиринт)"/>
        <s v="Эста 3-х дверный Шашка (6 ЛДСП / 6 Стекол Магнолия)"/>
        <s v="Эста 3-х дверный Шашка (6 Зеркал / 6 Стекол Магнолия)"/>
        <s v="Эста 3-х дверный Шашка (6 Зеркал / 6 Черных стекол)"/>
        <s v="Эста 3-х дверный Шашка (6 ЛДСП / 6 Белых стекол Диско)"/>
        <s v="Эста 3-х дверный Шашка (6 Белых стекол / 6 Черных стекол)"/>
        <s v="Эста 3-х дверный Цельный (12 Черных стекол диско)"/>
        <s v="Эста 3-х дверный Шашка (6 Белых стекол / 6 Стекол Лабиринт)"/>
        <s v="Эста 3-х дверный Шашка (6 Белых стекол / 6 Черных стекол Диско)"/>
        <s v="Эста 3-х дверный Цельный (12 ЛДСП)"/>
        <s v="Эста 3-х дверный Цельный (12 Зеркал бронза)"/>
        <s v="Эста 3-х дверный Цельный (12 Зеркал)"/>
        <s v="Эста 3-х дверный Цельный (12 Черных стекол)"/>
        <s v="Эста 3-х дверный Цельный (12 Белых стекол)"/>
        <s v="Эста 3-х дверный Цельный (12 Стекол Магнолия)"/>
        <s v="Эста 3-х дверный Медиум (4 посредине) (4 Черных стекла Диско / 8 Черных стекол)"/>
        <s v="Эста 3-х дверный Цельный (12 Белых стекол диско)"/>
        <s v="Эста 3-х дверный Медиум (4 посредине) (4 Черных стекла / 8 Стекол Лабиринт)"/>
        <s v="Эста 3-х дверный Медиум (4 посредине) (4 Черных стекла / 8 Стекол Магнолия)"/>
        <s v="Эста 3-х дверный Медиум (4 посредине) (4 Черных стекла Диско / 8 Стекол Магнолия)"/>
        <s v="Эста 3-х дверный Медиум (4 посредине) (4 Черных стекла / 8 ЛДСП)"/>
        <s v="Эста 3-х дверный Медиум (4 посредине) (4 Стекол Лабиринт / 8 ЛДСП)"/>
        <s v="Эста 3-х дверный Медиум (4 посредине) (4 Черных стекла / 8 Белых стекол Диско)"/>
        <s v="Эста 3-х дверный Медиум (4 посредине) (4 Черных стекла / 8 Зеркал бронза)"/>
        <s v="Эста 3-х дверный Медиум (4 посредине) (4 Черных стекла / 8 Зеркал)"/>
        <s v="Эста 3-х дверный Медиум (4 посредине) (4 Стекла Барокко / 8 Зеркал)"/>
        <s v="Эста 3-х дверный Медиум (4 посредине) (4 Стекла Барокко / 8 ЛДСП)"/>
        <s v="Эста 3-х дверный Медиум (4 посредине) (4 ЛДСП / 8 Стекол Лабиринт)"/>
        <s v="Эста 3-х дверный Медиум (4 посредине) (4 ЛДСП / 8 Черных стекол Диско)"/>
        <s v="Эста 3-х дверный Медиум (4 посредине) (4 Стекла Барокко / 8 Зеркал Квадрат)"/>
        <s v="Эста 3-х дверный Медиум (4 посредине) (4 Стекла Барокко / 8 Зеркал бронза Квадрат)"/>
        <s v="Эста 3-х дверный Медиум (4 посредине) (4 Зеркала бронза / 8 ЛДСП)"/>
        <s v="Эста 3-х дверный Медиум (4 посредине) (4 Зеркала бронза / 8 Стекол Магнолия)"/>
        <s v="Эста 3-х дверный Медиум (4 посредине) (4 ЛДСП / 8 Белых стекол)"/>
        <s v="Эста 3-х дверный Медиум (4 посредине) (4 ЛДСП / 8 Стекол Барокко)"/>
        <s v="Эста 3-х дверный Медиум (4 посредине) (4 ЛДСП / 8 Зеркал)"/>
        <s v="Эста 3-х дверный Медиум (4 посредине) (4 ЛДСП / 8 Зеркал бронза)"/>
        <s v="Эста 3-х дверный Медиум (4 посредине) (4 Зеркала / 8 Стекол Магнолия)"/>
        <s v="Эста 3-х дверный Медиум (4 посредине) (4 Зеркала / 8 Черных стекол Диско)"/>
        <s v="Эста 3-х дверный Медиум (4 посредине) (4 Зеркала бронза / 8 Белых стекол)"/>
        <s v="Эста 3-х дверный Медиум (4 посредине) (4 Зеркала / 8 Белых стекол Диско)"/>
        <s v="Эста 3-х дверный Медиум (4 посредине) (4 Зеркала / 8 Черных стекол)"/>
        <s v="Эста 3-х дверный Медиум (4 посредине) (4 Белых стекла Диско / 8 ЛДСП)"/>
        <s v="Эста 3-х дверный Медиум (4 посредине) (4 Белых стекла Диско / 8 Стекол Лабиринт)"/>
        <s v="Эста 3-х дверный Медиум (4 посредине) (4 Зеркала / 8 ЛДСП)"/>
        <s v="Эста 3-х дверный Медиум (4 посредине) (4 Зеркала / 8 Стекол Барокко)"/>
        <s v="Эста 3-х дверный Медиум (4 посредине) (4 Зеркала / 8 Стекол Лабиринт)"/>
        <s v="Эста 3-х дверный Медиум (4 посредине) (4 Белых стекла Диско / 8 Черных стекол Диско)"/>
        <s v="Эста 3-х дверный Медиум (4 посредине) (4 Белых стекла Диско / 8 Стекол Магнолия)"/>
        <s v="Эста 3-х дверный Медиум (4 посредине) (4 Белых стекла / 8 Стекол Барокко)"/>
        <s v="Эста 3-х дверный Медиум (4 посредине) (4 Белых стекла Диско / 8 Белых стекол)"/>
        <s v="Эста 3-х дверный Медиум (4 посредине) (4 Белых стекла Диско / 8 Зеркал бронза Квадрат)"/>
        <s v="Эста 3-х дверный Медиум (4 посредине) (4 Белых стекла Диско / 8 Зеркал Квадрат)"/>
        <s v="Эста 3-х дверный Медиум (4 посредине) (4 Белых стекла Диско / 8 Зеркал)"/>
        <s v="Эста 3-х дверный Медиум (4 посредине) (4 Белых стекла / 8 Белых стекол Диско)"/>
        <s v="Эста 3-х дверный Комби (6 Черных стекол Диско / 6 Стекол Лабиринт)"/>
        <s v="Эста 3-х дверный Комби (6 Черных стекол Диско / 6 Черных стекол)"/>
        <s v="Эста 3-х дверный Медиум (4 посредине) (4 Белых стекла / 8 Зеркал бронза)"/>
        <s v="Эста 3-х дверный Медиум (4 посредине) (4 Белых стекла / 8 Зеркал)"/>
        <s v="Эста 3-х дверный Комби (6 Черных стекол / 6 Черных стекол Диско)"/>
        <s v="Эста 3-х дверный Медиум (4 посредине) (4 Белых стекла / 8 ЛДСП)"/>
        <s v="Эста 3-х дверный Комби (6 Черных стекол / 6 Зеркал)"/>
        <s v="Эста 3-х дверный Комби (6 Черных стекол / 6 ЛДСП)"/>
        <s v="Эста 3-х дверный Комби (6 Черных стекол / 6 Стекол Лабиринт)"/>
        <s v="Эста 3-х дверный Комби (6 Черных стекол / 6 Стекол Магнолия)"/>
        <s v="Эста 3-х дверный Комби (6 Черных стекол Диско / 6 Зеркал)"/>
        <s v="Эста 3-х дверный Комби (6 ЛДСП / 6 Черных стекол Диско)"/>
        <s v="Эста 3-х дверный Комби (6 Зеркал / 6 Белых стекол Диско)"/>
        <s v="Эста 3-х дверный Комби (6 Белых стекол / 6 Черных стекол)"/>
        <s v="Эста 2-х дверный Шашка (4 Черных стекла / 4 Черных стекла Диско)"/>
        <s v="Эста 2-х дверный Шашка (4 Черных стекла / 4 Белых стекла Диско)"/>
        <s v="Эста 2-х дверный Шашка (4 Черных стекла / 4 Стекла Магнолия)"/>
        <s v="Эста 3-х дверный Комби (6 Белых стекол / 6 Зеркал)"/>
        <s v="Эста 2-х дверный Шашка (4 Белых стекла Диско / 4 Стекла Лабиринт)"/>
        <s v="Эста 2-х дверный Шашка (4 ЛДСП / 4 Стекла Лабиринт)"/>
        <s v="Эста 2-х дверный Шашка (4 Зеркала / 4 Черных стекла Диско)"/>
        <s v="Эста 3-х дверный Комби (6 Белых стекол Диско / 6 Стекол Магнолия)"/>
        <s v="Эста 2-х дверный полоса горизонтальная (3 из 4) (6 Черных стекол Диско / 2 Стекло Лабиринт)"/>
        <s v="Эста 2-х дверный Шашка (4 ЛДСП / 4 Черных стекла)"/>
        <s v="Эста 2-х дверный Шашка (4 Белых стекла / 4 Стекло Магнолия)"/>
        <s v="Эста 2-х дверный полоса горизонтальная (3 из 4) (6 Стекол Лабиринт / 2 Черных стекла Диско)"/>
        <s v="Эста 2-х дверный полоса горизонтальная (3 из 4) (6 Стекол Лабиринт / 2 Черных стекла)"/>
        <s v="Эста 2-х дверный Шашка (4 Белых стекла / 4 Черных стекла Диско)"/>
        <s v="Эста 2-х дверный полоса горизонтальная (3 из 4) (6 Черных стекол / 2 Зеркала)"/>
        <s v="Эста 2-х дверный полоса горизонтальная (3 из 4) (6 Зеркал / 2 Белых стекла)"/>
        <s v="Эста 2-х дверный полоса горизонтальная (3 из 4) (6 Зеркал / 2 ЛДСП)"/>
        <s v="Эста 2-х дверный полоса горизонтальная (3 из 4) (6 Зеркал / 2 Стекла Лабиринт)"/>
        <s v="Эста 2-х дверный полоса горизонтальная (3 из 4) (6 ЛДСП / 2 Белых стекла Диско)"/>
        <s v="Эста 2-х дверный полоса горизонтальная (3 из 4) (6 Стекол Лабиринт / 2 Стекла Магнолия)"/>
        <s v="Эста 2-х дверный полоса горизонтальная (3 из 4) (6 ЛДСП / 2 Стекла Лабиринт)"/>
        <s v="Эста 2-х дверный полоса горизонтальная (2 из 4) (6 Черных стекол / 2 Стекла Лабиринт)"/>
        <s v="Эста 2-х дверный полоса горизонтальная (2 из 4) (6 Черных стекол / 2 Белых стекла)"/>
        <s v="Эста 2-х дверный полоса горизонтальная (2 из 4) (6 Черных стекол / 2 Белых стекол Диско)"/>
        <s v="Эста 2-х дверный полоса горизонтальная (2 из 4) (6 Черных стекол / 2 Зеркала)"/>
        <s v="Эста 2-х дверный полоса горизонтальная (2 из 4) (6 Черных стекол / 2 ЛДСП)"/>
        <s v="Эста 2-х дверный полоса горизонтальная (3 из 4) (6 Стекол Лабиринт / 2 ЛДСП)"/>
        <s v="Эста 2-х дверный полоса горизонтальная (2 из 4) (6 Черных стекол Диско / 2 Стекла Магнолия)"/>
        <s v="Эста 2-х дверный полоса горизонтальная (2 из 4) (6 Черных стекол / 2 Стекла Магнолия)"/>
        <s v="Эста 2-х дверный полоса горизонтальная (3 из 4) (6 Зеркал / 2 Белых стекла Диско)"/>
        <s v="Эста 2-х дверный полоса горизонтальная (2 из 4) (6 Стекол Магнолия / 2 Стекла Лабиринт)"/>
        <s v="Эста 2-х дверный полоса горизонтальная (2 из 4) (6 Стекол Лабиринт / 2 Зеркала)"/>
        <s v="Эста 2-х дверный полоса горизонтальная (2 из 4) (6 Стекол Магнолия / 2 Зеркала)"/>
        <s v="Эста 2-х дверный полоса горизонтальная (2 из 4) (6 Стекол Магнолия / 2 ЛДСП)"/>
        <s v="Эста 2-х дверный полоса горизонтальная (2 из 4) (6 Зеркал / 2 Белых стекла Диско)"/>
        <s v="Эста 2-х дверный полоса горизонтальная (2 из 4) (6 Стекол Магнолия / 2 Черных стекла)"/>
        <s v="Эста 2-х дверный полоса горизонтальная (2 из 4) (6 Черных стекло Диско / 2 ЛДСП)"/>
        <s v="Эста 2-х дверный полоса горизонтальная (2 из 4) (6 Зеркал / 2 Стекол Магнолия)"/>
        <s v="Эста 2-х дверный Медиум (4 ЛДСП / 4 Стекла Лабиринт)"/>
        <s v="Эста 2-х дверный Медиум (4 ЛДСП / 4 Черный стекол Диско)"/>
        <s v="Эста 2-х дверный Медиум (4 Черных стекла Диско / 4 Стекла Магнолия)"/>
        <s v="Эста 2-х дверный Комби (4 Стекла Магнолия / 4 ЛДСП)"/>
        <s v="Эста 2-х дверный Комби (4 Стекла Лабиринт / 4 ЛДСП)"/>
        <s v="Эста 2-х дверный Комби (4 Белых стекла Диско / 4 Стекла лабиринт)"/>
        <s v="Эста 2-х дверный Комби (4 Белых стекла Диско / 4 Черных стекла Диско)"/>
        <s v="Эста 2-х дверный Комби (4 Черных стекла Диско / 4 Черных стекла)"/>
        <s v="Эста 2-х дверный Комби (4 Зеркала бронза / 4 Стекла Магнолия)"/>
        <s v="Эста 2-х дверный Комби (4 Зеркала / 4 Белых стекло)"/>
        <s v="Эста 2-х дверный Комби (4 Зеркала / 4 Стекла Барокко)"/>
        <s v="Эста 2-х дверный Комби (4 Зеркала / 4 Стекла Магнолия)"/>
        <s v="Эста 2-х дверный Комби (4 Зеркала / 4 Черных стекла)"/>
        <s v="Эста 2-х дверный Комби (4 Зеркала бронза / 4 ЛДСП)"/>
        <s v="Эста 2-х дверный Медиум (4 Белых стекла / 4 Стекла Магнолия)"/>
        <s v="Эста 2-х дверный (8 Стекол Лабиринт)"/>
        <s v="Эста 2-х дверный (8 Черных стекол)"/>
        <s v="Эста 2-х дверный Комби (4 Белых стекла / 4 Стекла Лабиринт)"/>
        <s v="Эста 2-х дверный Комби (4 Белых стекла Диско / 4 Зеркала)"/>
        <s v="Экспресс 2-х дверный (Фото№1016 Абстракция золотая пыль)"/>
        <s v="Эста 2-х дверный Медиум (4 Белых стекла / 4 Стекла Барокко)"/>
        <s v="Эста 2-х дверный Медиум (4 Черных стекла / 4 Стекла Лабиринт)"/>
        <s v="Эста 2-х дверный полоса горизонтальная (2 из 4) (6 Белых стекол Диско / 2 Зеркала)"/>
        <s v="Эста 2-х дверный полоса горизонтальная (2 из 4) (6 Зеркал / 2 Черных стекол)"/>
        <s v="Эста 2-х дверный полоса горизонтальная (2 из 4) (6 Стекол Магнолия / 2 Белых стекла)"/>
        <s v="Эста 2-х дверный полоса горизонтальная (3 из 4) (6 Белых стекол / 2 Стекла Магнолия)"/>
        <s v="Эста 2-х дверный полоса горизонтальная (3 из 4) (6 Черных стекол / 2 Белых стекла Диско)"/>
        <s v="Эста 2-х дверный Шашка (4 Черных стекла Диско / 4 Стекла Лабиринт)"/>
        <s v="Эста 3-х дверный Комби (6 Зеркал / 6 Стекол Магнолия)"/>
        <s v="Эста 3-х дверный Комби (6 Стекол Лабиринт / 6 ЛДСП)"/>
        <s v="Эста 3-х дверный Комби (6 Стекол Магнолия / 6 Зеркал бронза)"/>
        <s v="Эста 3-х дверный Комби (6 Стекол Барокко / 6 ЛДСП)"/>
        <s v="Эста 3-х дверный Комби (6 Стекол Магнолия / 6 ЛДСП)"/>
        <s v="Эста 3-х дверный Комби (6 Стекол Барокко / 6 Зеркал)"/>
        <s v="Эста 3-х дверный Комби (6 Стекол Лабиринт / 6 Зеркал бронза)"/>
        <s v="Эста 3-х дверный Комби (6 ЛДСП / 6 Стекол Магнолия)"/>
        <s v="Эста 3-х дверный Комби (6 ЛДСП / 6 Черных стекол)"/>
        <s v="Эста 3-х дверный Комби (6 Стекол Барокко / 6 Белых стекол)"/>
        <s v="Эста 3-х дверный Комби (6 ЛДСП / 6 Белых стекол Диско)"/>
        <s v="Эста 3-х дверный Комби (6 ЛДСП / 6 Стекол Лабиринт)"/>
        <s v="Эста 3-х дверный Комби (6 ЛДСП / 6 Зеркал)"/>
        <s v="Эста 3-х дверный Комби (6 ЛДСП / 6 Стекол Барокко)"/>
        <s v="Эста 3-х дверный Комби (6 ЛДСП / 6 Белых стекол)"/>
        <s v="Эста 3-х дверный Комби (6 Зеркал / 6 Стекол Лабиринт)"/>
        <s v="Эста 3-х дверный Комби (6 Зеркал / 6 ЛДСП)"/>
        <s v="Эста 3-х дверный Комби (6 Зеркал / 6 Стекол Барокко)"/>
        <s v="Эста 3-х дверный Комби (6 Белых стекол Диско / 6 Черных стекол Диско)"/>
        <s v="Эста 3-х дверный Комби (6 Зеркал / 6 Белых стекол)"/>
        <s v="Эста 3-х дверный Комби (6 Белых стекол Диско / 6 Белых стекол)"/>
        <s v="Эста 3-х дверный Комби (6 Белых стекол Диско / 6 Зеркал)"/>
        <s v="Эста 3-х дверный Комби (6 Белых стекол / 6 Стекол Лабиринт)"/>
        <s v="Эста 3-х дверный Комби (6 Белых стекол / 6 Зеркал бронза)"/>
        <s v="Эста 3-х дверный Комби (6 Белых стекол / 6 Белых стекол Диско)"/>
        <s v="Эста 2-х дверный Шашка (4 Черных стекла / 4 Стекла Лабаринт)"/>
        <s v="Эста 2-х дверный Шашка (4 Черных стекла Диско / 4 Белых стекла Диско)"/>
        <s v="Эста 2-х дверный Шашка (4 ЛДСП / 4 Черных стекла Диско)"/>
        <s v="Эста 2-х дверный Шашка (4 ЛДСП / 4 Белых стекла)"/>
        <s v="Эста 2-х дверный Шашка (4 ЛДСП / 4 Зеркала)"/>
        <s v="Эста 2-х дверный Шашка (4 ЛДСП / 4 Стекло Барокко)"/>
        <s v="Эста 2-х дверный Шашка (4 Зеркала / 4 Белых стекла Диско)"/>
        <s v="Эста 2-х дверный Шашка (4 Зеркала / 4 Стекла Магнолия)"/>
        <s v="Эста 2-х дверный Шашка (4 ЛДСП / 4 Белых стекла Диско)"/>
        <s v="Эста 2-х дверный Шашка (4 Белых стекла / 4 Черных стекла)"/>
        <s v="Эста 2-х дверный Шашка (4 Белых стекла Диско / 4 Стекла Магнолия)"/>
        <s v="Эста 2-х дверный Шашка (4 Зеркала / 4 Белых стекла)"/>
        <s v="Эста 2-х дверный Шашка (4 Зеркала / 4 Стекла Лабиринт)"/>
        <s v="Эста 2-х дверный Шашка (4 Зеркала / 4 Черных стекла)"/>
        <s v="Эста 2-х дверный полоса горизонтальная (3 из 4) (6 Черных стекол Диско / 2 Черных стекла)"/>
        <s v="Эста 2-х дверный полоса горизонтальная (3 из 4) (6 Черных стекол Диско / 2 Стекло Магнолия)"/>
        <s v="Эста 2-х дверный полоса горизонтальная (3 из 4) (6 Черных стекол Диско / 2 Белых стекла Диско)"/>
        <s v="Эста 2-х дверный полоса горизонтальная (3 из 4) (6 Черных стекол Диско / 2 Белых стекла)"/>
        <s v="Эста 2-х дверный полоса горизонтальная (3 из 4) (6 Черных стекол / 2 Белых стекла)"/>
        <s v="Эста 2-х дверный полоса горизонтальная (3 из 4) (6 Черных стекол / 2 Стекла Магнолия)"/>
        <s v="Эста 2-х дверный полоса горизонтальная (3 из 4) (6 Черных стекол / 2 Черных стекла Диско)"/>
        <s v="Эста 2-х дверный полоса горизонтальная (3 из 4) (6 Стекол Магнолия / 2 Черных стекла)"/>
        <s v="Эста 2-х дверный полоса горизонтальная (3 из 4) (6 Стекол Магнолия / 2 ЛДСП)"/>
        <s v="Эста 2-х дверный полоса горизонтальная (3 из 4) (6 Стекол Магнолия / 2 Черных стекла Диско)"/>
        <s v="Эста 2-х дверный полоса горизонтальная (3 из 4) (6 Стекол Магнолия / 2 Стекла Лабиринт)"/>
        <s v="Эста 2-х дверный полоса горизонтальная (3 из 4) (6 Стекол Лабиринт / 2 Белых стекла Диско)"/>
        <s v="Эста 2-х дверный полоса горизонтальная (3 из 4) (6 Стекол Лабиринт / 2 Белых стекла)"/>
        <s v="Эста 2-х дверный полоса горизонтальная (3 из 4) (6 ЛДСП / 2 Черных стекла)"/>
        <s v="Эста 2-х дверный полоса горизонтальная (3 из 4) (6 ЛДСП / 2 Черных стекла Диско)"/>
        <s v="Эста 2-х дверный полоса горизонтальная (3 из 4) (6 Зеркал / 2 Черных стекла)"/>
        <s v="Эста 2-х дверный полоса горизонтальная (3 из 4) (6 ЛДСП / 2 Зеркала)"/>
        <s v="Эста 2-х дверный полоса горизонтальная (3 из 4) (6 Зеркал / 2 Черных стекла Диско)"/>
        <s v="Эста 2-х дверный полоса горизонтальная (3 из 4) (6 Белых стекол Диско / 2 ЛДСП)"/>
        <s v="Эста 2-х дверный полоса горизонтальная (3 из 4) (6 Белых стекол Диско / 2 Стекла Магнолия)"/>
        <s v="Эста 2-х дверный полоса горизонтальная (3 из 4) (6 Белых стекол / 2 Стекла Лабиринт)"/>
        <s v="Эста 2-х дверный полоса горизонтальная (3 из 4) (6 Белых стекол / 2 Черных стекла)"/>
        <s v="Эста 2-х дверный полоса горизонтальная (3 из 4) (6 Белых стекол Диско / 2 Белых стекла)"/>
        <s v="Эста 2-х дверный полоса горизонтальная (3 из 4) (6 Белых стекол Диско / 2 Зеркала)"/>
        <s v="Эста 2-х дверный полоса горизонтальная (3 из 4) (6 Белых стекол / 2 Белых стекла Диско)"/>
        <s v="Эста 2-х дверный полоса горизонтальная (2 из 4) (6 Черных стекол Диско / 2 Черных стекла)"/>
        <s v="Эста 2-х дверный полоса горизонтальная (3 из 4) (6 Белых стекол / 2 ЛДСП)"/>
        <s v="Эста 2-х дверный полоса горизонтальная (2 из 4) (6 Черных стекол Диско / 2 Белых стекла)"/>
        <s v="Эста 2-х дверный полоса горизонтальная (2 из 4) (6 Стекол Магнолия / 2 Черных стекла Диско)"/>
        <s v="Эста 2-х дверный полоса горизонтальная (2 из 4) (6 Стекол Лабиринт / 2 Черных стекла)"/>
        <s v="Эста 2-х дверный полоса горизонтальная (2 из 4) (6 Стекол Магнолия / 2 Белых стекла Диско)"/>
        <s v="Эста 2-х дверный полоса горизонтальная (2 из 4) (6 Стекло Лабиринт / 2 Черных стекла Диско)"/>
        <s v="Эста 2-х дверный полоса горизонтальная (2 из 4) (6 ЛДСП / 2 Стекол Магнолия)"/>
        <s v="Эста 2-х дверный полоса горизонтальная (2 из 4) (6 Стекол Лабиринт / 2 Белых стекла Диско)"/>
        <s v="Эста 2-х дверный полоса горизонтальная (2 из 4) (6 Стекол Лабиринт / 2 Белых стекла)"/>
        <s v="Эста 2-х дверный полоса горизонтальная (2 из 4) (6 Белых стекол / 2 Зеркала)"/>
        <s v="Эста 2-х дверный полоса горизонтальная (2 из 4) (6 Белых стекол Диско / 2 Стекла Лабиринт)"/>
        <s v="Эста 2-х дверный полоса горизонтальная (2 из 4) (6 Белых стекол Диско / 2 Черных стекла)"/>
        <s v="Эста 2-х дверный Медиум (4 Белых стекла Диско / 4 Стекла Лабиринт)"/>
        <s v="Эста 2-х дверный Медиум (4 Зеркала / 4 Белых стекла Диско)"/>
        <s v="Эста 2-х дверный Медиум (4 ЛДСП / 4 Белых стекол Диско)"/>
        <s v="Эста 2-х дверный Комби (4 ЛДСП / 4 Белых стекла Диско)"/>
        <s v="Эста 2-х дверный Комби (4 ЛДСП / 4 Зеркала бронза)"/>
        <s v="Эста 2-х дверный Комби (4 ЛДСП / 4 Стекла Барокко)"/>
        <s v="Эста 2-х дверный Комби (4 ЛДСП / 4 Стекла Магнолия)"/>
        <s v="Эста 2-х дверный Медиум (4 Стекла Магнолия / 4 Стекла Лабиринт)"/>
        <s v="Эста 2-х дверный Комби (4 Черных стекла / 4 Белых стекла Диско)"/>
        <s v="Эста 2-х дверный Комби (4 Черных стекла / 4 Зеркала)"/>
        <s v="Эста 2-х дверный Комби (4 Белых стекла / 4 Зеркала)"/>
        <s v="Экспресс 3-х дверный (Фото№1011 Фиолетовый дым)"/>
        <s v="Экспресс 3-х дверный (Фото№1024 Париж)"/>
        <s v="Экспресс 3-х дверный (ЛДСП, Зеркало)"/>
        <s v="Лайт 2-х дверный (ЛДСП, Зеркало)"/>
        <s v="Лайт 3-х дверный (ЛДСП, Зеркало)"/>
        <s v="Экспресс 2 Хит 2-х дверный (Зеркало)"/>
        <s v="Экспресс 2 Хит 2-х дверный (ЛДСП)"/>
        <s v="Экспресс 2 Хит 2-х дверный (ЛДСП, Зеркало)"/>
        <s v="Экспресс 3-х дверный (Фото№1016 Абстракция золотая пыль)"/>
        <s v="Эста 2-х дверный Комби (4 ЛДСП / 4 Черных стекла)"/>
        <s v="Эста 2-х дверный полоса горизонтальная (2 из 4) (6 ЛДСП / 2 Белых стекла Диско)"/>
        <s v="Эста 2-х дверный полоса горизонтальная (2 из 4) (6 ЛДСП / 2 Стекол Лабиринт)"/>
        <s v="Эста 2-х дверный полоса горизонтальная (2 из 4) (6 ЛДСП / 2 Стекло белое)"/>
        <s v="Эста 2-х дверный полоса горизонтальная (2 из 4) (6 Зеркал / 2 Стекол Лабиринт)"/>
        <s v="Эста 2-х дверный полоса горизонтальная (2 из 4) (6 Зеркал / 2 Черных стекол Диско)"/>
        <s v="Эста 2-х дверный полоса горизонтальная (2 из 4) (6 Зеркал / 2 ЛДСП)"/>
        <s v="Эста 2-х дверный полоса горизонтальная (2 из 4) (6 Белых стекол Диско / 2 Черных стекла Диско)"/>
        <s v="Эста 2-х дверный полоса горизонтальная (2 из 4) (6 Белых стекол Диско / 2 Белых стекла)"/>
        <s v="Эста 2-х дверный Медиум (4 Черных стекла Диско / 4 Белых стекла Диско)"/>
        <s v="Эста 2-х дверный полоса горизонтальная (2 из 4) (6 Белых стекол / 2 Стекла Лабиринт)"/>
        <s v="Эста 2-х дверный полоса горизонтальная (2 из 4) (6 Белых стекол / 2 Черных стекла Диско)"/>
        <s v="Эста 2-х дверный полоса горизонтальная (2 из 4) (6 Белых стекол Диско / 2 ЛДСП)"/>
        <s v="Эста 2-х дверный Комби (4 Черных стекла / 4 Стекла Лабиринт)"/>
        <s v="Эста 2-х дверный Комби (4 Черных стекла / 4 Черных стекла Диско)"/>
        <s v="Эста 2-х дверный Медиум (4 Зеркала / 4 Стекла Лабиринт)"/>
        <s v="Эста 2-х дверный Медиум (4 Зеркала / 4 Черных стекла)"/>
        <s v="Эста 2-х дверный Медиум (4 ЛДСП / 4 Стекла Барокко)"/>
        <s v="Эста 2-х дверный Комби (4 Стекла Барокко / 4 Зеркала)"/>
        <s v="Эста 2-х дверный Комби (4 Стекла Лабиринт / 4 Зеркала бронза)"/>
        <s v="Эста 2-х дверный (8 Зеркал)"/>
        <s v="Эста 2-х дверный Комби (4 Белых стекла / 4 Черных стекла)"/>
        <s v="Экспресс 3-х дверный (Фото№1003 Листья золото)"/>
        <s v="Экспресс 2-х дверный (Фото№1013 Золотой орнамент)"/>
        <s v="Экспресс 2-х дверный (Фото№1025 Орхидея белая)"/>
        <s v="Экспресс 3-х дверный (Зеркало, ЛДСП)"/>
        <s v="Экспресс 2-х дверный (Зеркало)"/>
        <s v="Экспресс 2-х дверный (Фото№1001 Абстракция серая)"/>
        <s v="Экспресс 2-х дверный (Фото№1007 Ночной мост)"/>
        <s v="Эста 2-х дверный полоса горизонтальная (2 из 4) (6 Белых стекол / 2 Белых стекла Диско)"/>
        <s v="Эста 2-х дверный полоса горизонтальная (2 из 4) (6 Белых стекол / 2 ЛДСП)"/>
        <s v="Эста 2-х дверный Медиум (4 Черных стекла / 4 Стекла Магнолия)"/>
        <s v="Эста 2-х дверный Медиум (4 ЛДСП / 4 Стекла Магнолия)"/>
        <s v="Эста 2-х дверный Медиум (4 Стекла Лабиринт / 4 Зеркала бронза)"/>
        <s v="Эста 2-х дверный Медиум (4 Черных стекла Диско / 4 Стекла Лабиринт)"/>
        <s v="Эста 2-х дверный Медиум (4 Черных стекла / 4 Белых стекла Диско)"/>
        <s v="Эста 2-х дверный Медиум (4 Стекла Магнолия / 4 Зеркала бронза)"/>
        <s v="Эста 2-х дверный Медиум (4 Черных стекла / 4 Зеркала бронза)"/>
        <s v="Эста 2-х дверный Медиум (4 ЛДСП / 4 Зеркала бронза)"/>
        <s v="Эста 2-х дверный Медиум (4 ЛДСП / 4 Стекла белого)"/>
        <s v="Эста 2-х дверный Медиум (4 ЛДСП / 4 Стекла черного)"/>
        <s v="Эста 2-х дверный Медиум (4 Зеркала бронза / 4 Белых стекла)"/>
        <s v="Эста 2-х дверный Медиум (4 Белых стекла / 4 Черных стекла Диско)"/>
        <s v="Эста 2-х дверный Медиум (4 Зеркала / 4 Белых стекла)"/>
        <s v="Эста 2-х дверный Медиум (4 Белых стекла / 4 Чернах стекла)"/>
        <s v="Эста 2-х дверный Медиум (4 Зеркала / 4 Стекла Магнолия)"/>
        <s v="Эста 2-х дверный Медиум (4 Белых стекла / 4 Стекла Лабиринт)"/>
        <s v="Эста 2-х дверный Медиум (4 Белых стекла Диско / 4 Стекла Магнолия)"/>
        <s v="Эста 2-х дверный Комби (4 Черных стекла Диско / 4 ЛДСП)"/>
        <s v="Эста 2-х дверный Комби (4 Черных стекла Диско / 4 Стекла Магнолия)"/>
        <s v="Эста 2-х дверный Медиум (4 Белых стекла / 4 Белых стекло Диско)"/>
        <s v="Эста 2-х дверный Комби (4 Черных стекла / 4 Стекла Магнолия)"/>
        <s v="Эста 2-х дверный Комби (4 Стекла Магнолия / 4 Стекла Лабиринт)"/>
        <s v="Эста 2-х дверный Комби (4 Черных стекла / 4 ЛДСП)"/>
        <s v="Эста 2-х дверный Комби (4 Стекла Магнолия / 4 Зеркала бронза)"/>
        <s v="Эста 2-х дверный Комби (4 Черных стекла / 4 Зеркала бронза)"/>
        <s v="Эста 2-х дверный Комби (4 Стекла Барокко / 4 Белых стекла)"/>
        <s v="Эста 2-х дверный Комби (4 ЛДСП / 4 Черных стекла Диско)"/>
        <s v="Эста 2-х дверный Комби (4 Зеркала бронза / 4 Стекла Лабиринт)"/>
        <s v="Эста 2-х дверный Комби (4 ЛДСП / 4 Зеркала)"/>
        <s v="Эста 2-х дверный Комби (4 ЛДСП / 4 Стекла Лабиринт)"/>
        <s v="Эста 2-х дверный Комби (4 Зеркала бронза / 4 Белых стекла)"/>
        <s v="Эста 2-х дверный Комби (4 Зеркала бронза / 4 Черных стекла)"/>
        <s v="Эста 2-х дверный Комби (4 ЛДСП / 4 Белых стекла)"/>
        <s v="Эста 2-х дверный Комби (4 Зеркала / 4 Черных стекла Диско)"/>
        <s v="Эста 2-х дверный Комби (4 Зеркала / 4 Стекла Лабиринт)"/>
        <s v="Эста 2-х дверный Комби (4 Зеркала / 4 ЛДСП)"/>
        <s v="Эста 2-х дверный Комби (4 Белых стекла Диско / 4 Стекла Магнолия)"/>
        <s v="Эста 2-х дверный Комби (4 Зеркала / 4 Белых стекла Диско)"/>
        <s v="Эста 2-х дверный Комби (4 Белых стекла Диско / 4 ЛДСП)"/>
        <s v="Эста 2-х дверный Комби (4 Белых стекла / 4 Белых стекла Диско)"/>
        <s v="Эста 2-х дверный Комби (4 Белых стекла / 4 Стекла Магнолия)"/>
        <s v="Эста 2-х дверный Комби (4 Белых стекла Диско / 4 Белых стекла)"/>
        <s v="Эста 2-х дверный (8 Белых стекол Диско)"/>
        <s v="Эста 2-х дверный (8 Стекол Магнолия)"/>
        <s v="Эста 2-х дверный Комби (4 Белых стекла / 4 ЛДСП)"/>
        <s v="Эста 2-х дверный (8 ЛДСП)"/>
        <s v="Эста 2-х дверный (8 Черных стекол Диско)"/>
        <s v="Эста 2-х дверный (8 Стекол Барокко)"/>
        <s v="Эста 2-х дверный (8 Белых стекол)"/>
        <s v="Экспресс 3-х дверный Комби (Зеркало, ЛДСП)"/>
        <s v="Экспресс 3-х дверный (Фото№1020 Пионы)"/>
        <s v="Экспресс 3-х дверный (Фото№1015 Морские волны)"/>
        <s v="Экспресс 3-х дверный (Фото№1010 Абстракция бело-голубая)"/>
        <s v="Экспресс 3-х дверный (Фото№1006 Абстракция оранжево-голубая)"/>
        <s v="Экспресс 3-х дверный (Фото№1002 Абстракция фиолетовая)"/>
        <s v="Экспресс 3-х дверный (ЛДСП)"/>
        <s v="Широкий Прайм 3-дверный (Зеркало, ЛДСП) окутанный"/>
        <s v="Широкий Прайм 3-дверный (ЛДСП) окутанный"/>
        <s v="Широкий Прайм 3-дверный (ЛДСП, Зеркало) окутанный"/>
        <s v="Широкий Прайм 3-х дверный (ЛДСП, Стекло белое) окутанный"/>
        <s v="Широкий Прайм 3-х дверный (ЛДСП, Стекло пудра) окутанный"/>
        <s v="Широкий Прайм 3-х дверный (ЛДСП, Стекло фисташка) окутанный"/>
        <s v="Широкий Прайм 3-х дверный (ЛДСП, Стекло хаки) окутанный"/>
        <s v="Широкий Прайм 3-х дверный (ЛДСП, Стекло черное) окутанный"/>
        <s v="Широкий Прайм 3-х дверный (Стекло белое, ЛДСП) окутанный"/>
        <s v="Широкий Прайм 3-х дверный (Стекло пудра, ЛДСП) окутанный"/>
        <s v="Широкий Прайм 3-х дверный (Стекло фисташка, ЛДСП) окутанный"/>
        <s v="Широкий Прайм 3-х дверный (Стекло хаки, ЛДСП) окутанный"/>
        <s v="Широкий Прайм 3-х дверный (Стекло черное, ЛДСП) окутанный"/>
        <s v="Локер 2-х дверный (&quot;Гармошка&quot; с системой Push to Open/Правый)" u="1"/>
        <s v="Шкаф &quot;Турин 2&quot;" u="1"/>
        <s v="Экспресс 2-х дверный Мини" u="1"/>
        <s v="Шкаф-купе &quot;Турин 4&quot;" u="1"/>
        <s v="Локер 2-х дверный (Гармошка) с системой Push to Open/Правый)" u="1"/>
        <s v="Локер 2-х дверный (&quot;Гармошка&quot; с системой Push to Open/Левый)" u="1"/>
        <s v="Шкаф &quot;Турин&quot;" u="1"/>
        <s v="Локер 2-х дверный (&quot;Гармошка&quot;)" u="1"/>
        <s v="Локер 2-х дверный (Гармошка) с системой Push to Open/Левый)" u="1"/>
        <s v="Локер 2-х дверный (Гармошка) с системой Push to Move/Правый)" u="1"/>
        <s v="Локер 2-х дверный (Гармошка)" u="1"/>
        <s v="Локер 2-х дверный (Гармошка) с системой Push to Move/Левый)" u="1"/>
      </sharedItems>
    </cacheField>
    <cacheField name="Признак_ВИ_Шкафа" numFmtId="0">
      <sharedItems count="3">
        <s v="Основной вариант"/>
        <s v="Новый вариант"/>
        <s v="Белый снег" u="1"/>
      </sharedItems>
    </cacheField>
    <cacheField name="Компановка корпуса" numFmtId="0">
      <sharedItems count="21">
        <s v="Прайм 3х"/>
        <s v="Экспресс 60 2х"/>
        <s v="Экспресс 45 2х"/>
        <s v="Экспресс 45 3х"/>
        <s v="Экспресс 60 3х"/>
        <s v="Экспресс 45 глубина 2х"/>
        <s v="Стандарт Экспресс"/>
        <s v="Экспресс 45 глубина 3х"/>
        <s v="Стандарт Экспресс 3х"/>
        <s v="Стандарт Эста"/>
        <s v="Стандарт Прайм 3х"/>
        <s v="Прайм 2х"/>
        <s v="Стандарт Прайм"/>
        <s v="Локер (без полок)"/>
        <s v="Стандарт Эста 3х"/>
        <s v="Широкий Прайм 3х"/>
        <s v="Широкий Прайм 2х"/>
        <s v="Угловой Экспресс"/>
        <s v="Стандарт Лайт 2х"/>
        <s v="Стандарт Лайт 3х"/>
        <s v="Хит 2х"/>
      </sharedItems>
    </cacheField>
    <cacheField name="Атрибут" numFmtId="0">
      <sharedItems count="1">
        <s v="Sum-База_ОПТ"/>
      </sharedItems>
    </cacheField>
    <cacheField name="Значение" numFmtId="0">
      <sharedItems containsSemiMixedTypes="0" containsString="0" containsNumber="1" containsInteger="1" minValue="8520" maxValue="1478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579.749552662041" backgroundQuery="1" createdVersion="7" refreshedVersion="7" minRefreshableVersion="3" recordCount="16" xr:uid="{AE566977-472D-43E9-9B4C-C0A3DBE94E21}">
  <cacheSource type="external" connectionId="7"/>
  <cacheFields count="16">
    <cacheField name="Код" numFmtId="0">
      <sharedItems containsSemiMixedTypes="0" containsString="0" containsNumber="1" containsInteger="1" minValue="630" maxValue="9636" count="16">
        <n v="1766"/>
        <n v="1767"/>
        <n v="1768"/>
        <n v="1769"/>
        <n v="1774"/>
        <n v="1775"/>
        <n v="1776"/>
        <n v="1777"/>
        <n v="630"/>
        <n v="631"/>
        <n v="696"/>
        <n v="1079"/>
        <n v="1080"/>
        <n v="1081"/>
        <n v="9636"/>
        <n v="695"/>
      </sharedItems>
    </cacheField>
    <cacheField name="Код_Номенклатуры" numFmtId="0">
      <sharedItems containsSemiMixedTypes="0" containsString="0" containsNumber="1" containsInteger="1" minValue="1787" maxValue="28778" count="10">
        <n v="28777"/>
        <n v="28778"/>
        <n v="1787"/>
        <n v="1788"/>
        <n v="8624"/>
        <n v="24787"/>
        <n v="24790"/>
        <n v="24801"/>
        <n v="28530"/>
        <n v="8558"/>
      </sharedItems>
    </cacheField>
    <cacheField name="Код_ВИ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Номенклатура" numFmtId="0">
      <sharedItems count="10">
        <s v="Комплект ручек &quot;Прайм Премиум&quot; 2х дверный 2232 TM-L"/>
        <s v="Комплект ручек &quot;Прайм премиум&quot; 3х дверный 2232 TM-L"/>
        <s v="Комплект доводчиков SS EM TOPLINE L, 2 дв. открывание (ХЕТТИХ)"/>
        <s v="Комплект доводчиков SS EM TOPLINE L, 3 дв. открывание (ХЕТТИХ)"/>
        <s v="Комплект доводчиков TOPLINE М для 3 дв. шкафа"/>
        <s v="Комплект Silent System, на открывание, без регулировки, 2 двери, 50кг, Topline L"/>
        <s v="Комплект Silent System, на закрывание, за профилем, 2 двери, 25 кг, Topline M"/>
        <s v="Комплект Silent System, на открывание, без регулировки, 3/4 двери, 50кг, Topline L"/>
        <s v="Система доводчиков универсальная 1-дверная"/>
        <s v="Комплект доводчиков TOPLINE М для 2 дв. шкафа"/>
      </sharedItems>
    </cacheField>
    <cacheField name="Вариант_исполнения" numFmtId="0">
      <sharedItems count="5">
        <s v="Серебро"/>
        <s v="Белый профиль"/>
        <s v="Бронза"/>
        <s v="Черный"/>
        <s v="осн."/>
      </sharedItems>
    </cacheField>
    <cacheField name="Серия" numFmtId="0">
      <sharedItems count="2">
        <s v="Прайм Широкий"/>
        <s v="Доводчики"/>
      </sharedItems>
    </cacheField>
    <cacheField name="Ширина" numFmtId="0">
      <sharedItems containsBlank="1" count="4">
        <s v="2200"/>
        <s v="2400"/>
        <s v=""/>
        <m/>
      </sharedItems>
    </cacheField>
    <cacheField name="Глубина" numFmtId="0">
      <sharedItems containsBlank="1" count="3">
        <s v="570"/>
        <s v=""/>
        <m/>
      </sharedItems>
    </cacheField>
    <cacheField name="Высота" numFmtId="0">
      <sharedItems containsBlank="1" count="3">
        <s v="2300"/>
        <s v=""/>
        <m/>
      </sharedItems>
    </cacheField>
    <cacheField name="Цвет_профиля" numFmtId="0">
      <sharedItems containsBlank="1" count="2">
        <s v="Серебро профиль"/>
        <m/>
      </sharedItems>
    </cacheField>
    <cacheField name="Комплектующая" numFmtId="0">
      <sharedItems count="2">
        <s v="Ручки"/>
        <s v="Доводчики"/>
      </sharedItems>
    </cacheField>
    <cacheField name="Признак_Конструктива" numFmtId="0">
      <sharedItems containsBlank="1" count="2">
        <s v="TM-L"/>
        <m/>
      </sharedItems>
    </cacheField>
    <cacheField name="КоэффициентОпта" numFmtId="0">
      <sharedItems containsSemiMixedTypes="0" containsString="0" containsNumber="1" minValue="1.5" maxValue="1.5" count="1">
        <n v="1.5"/>
      </sharedItems>
    </cacheField>
    <cacheField name="Пользовательский" numFmtId="0">
      <sharedItems containsSemiMixedTypes="0" containsString="0" containsNumber="1" containsInteger="1" minValue="1" maxValue="1" count="1">
        <n v="1"/>
      </sharedItems>
    </cacheField>
    <cacheField name="Атрибут" numFmtId="0">
      <sharedItems count="1">
        <s v="База_ОПТ"/>
      </sharedItems>
    </cacheField>
    <cacheField name="Значение" numFmtId="0">
      <sharedItems containsSemiMixedTypes="0" containsString="0" containsNumber="1" containsInteger="1" minValue="870" maxValue="7660" count="9">
        <n v="2140"/>
        <n v="3160"/>
        <n v="3150"/>
        <n v="5990"/>
        <n v="3050"/>
        <n v="3330"/>
        <n v="3520"/>
        <n v="7660"/>
        <n v="87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579.74951238426" createdVersion="7" refreshedVersion="7" minRefreshableVersion="3" recordCount="36" xr:uid="{C09D0936-941B-48AE-9873-1328CC9EF709}">
  <cacheSource type="external" connectionId="10"/>
  <cacheFields count="12">
    <cacheField name="CKU" numFmtId="0">
      <sharedItems containsBlank="1" count="29">
        <m/>
        <s v="CSKU78576_2LK"/>
        <s v="CSKU78714_2LK"/>
        <s v="CSKU78721_2LK"/>
        <s v="CSKU78890_2LK"/>
        <s v="CSKU78950_2LK"/>
        <s v="CSKU78958_2LK"/>
        <s v="CSKU78974_2LK"/>
        <s v="CSKU78982_2LK"/>
        <s v="CSKU78590_2LK"/>
        <s v="CSKU78606_2LK"/>
        <s v="CSKU78734_2LK"/>
        <s v="CSKU78741_2LK"/>
        <s v="CSKU78691_2LK"/>
        <s v="CSKU78842_2LK"/>
        <s v="CSKU78898_2LK"/>
        <s v="CSKU78914_2LK"/>
        <s v="CSKU78791_2LK"/>
        <s v="CSKU78854_2LK"/>
        <s v="CSKU78878_2LK"/>
        <s v="CSKU78922_2LK"/>
        <s v="CSKU78764_2LK"/>
        <s v="CSKU78866_2LK"/>
        <s v="CSKU78664_2LK"/>
        <s v="CSKU78671_2LK"/>
        <s v="CSKU78771_2LK"/>
        <s v="CSKU78784_2LK"/>
        <s v="CSKU78566_2LK"/>
        <s v="CSKU78684_2LK"/>
      </sharedItems>
    </cacheField>
    <cacheField name="Серия" numFmtId="0">
      <sharedItems count="6">
        <s v="Локер"/>
        <s v="Прайм" u="1"/>
        <s v="Экспресс Хит" u="1"/>
        <s v="Лайт" u="1"/>
        <s v="Экспресс" u="1"/>
        <s v="Прайм Широкий" u="1"/>
      </sharedItems>
    </cacheField>
    <cacheField name="Тип_шкафа" numFmtId="0">
      <sharedItems count="5">
        <s v="Распашной"/>
        <s v="Складной"/>
        <s v="2-х дверные"/>
        <s v="2-х дверный" u="1"/>
        <s v="3-х дверный" u="1"/>
      </sharedItems>
    </cacheField>
    <cacheField name="Вариант исполнения шкафа" numFmtId="0">
      <sharedItems count="2">
        <s v="Белый снег"/>
        <s v="Дуб табачный"/>
      </sharedItems>
    </cacheField>
    <cacheField name="Ширина" numFmtId="0">
      <sharedItems containsSemiMixedTypes="0" containsString="0" containsNumber="1" containsInteger="1" minValue="600" maxValue="2400" count="11">
        <n v="1200"/>
        <n v="800"/>
        <n v="1000"/>
        <n v="2200" u="1"/>
        <n v="2100" u="1"/>
        <n v="2400" u="1"/>
        <n v="600" u="1"/>
        <n v="1400" u="1"/>
        <n v="1600" u="1"/>
        <n v="1800" u="1"/>
        <n v="900" u="1"/>
      </sharedItems>
    </cacheField>
    <cacheField name="Высота" numFmtId="0">
      <sharedItems containsSemiMixedTypes="0" containsString="0" containsNumber="1" containsInteger="1" minValue="525" maxValue="2400" count="6">
        <n v="2200"/>
        <n v="1900" u="1"/>
        <n v="525" u="1"/>
        <n v="2400" u="1"/>
        <n v="2120" u="1"/>
        <n v="2300" u="1"/>
      </sharedItems>
    </cacheField>
    <cacheField name="Глубина" numFmtId="0">
      <sharedItems containsSemiMixedTypes="0" containsString="0" containsNumber="1" containsInteger="1" minValue="525" maxValue="530" count="2">
        <n v="525"/>
        <n v="530"/>
      </sharedItems>
    </cacheField>
    <cacheField name="Наименование шкафа на сайте" numFmtId="0">
      <sharedItems count="17">
        <s v="Локер 2-х дверный (Распашной)"/>
        <s v="Локер 2-х дверный (Гармошка) с системой Push to Move/Правый)"/>
        <s v="Локер 2-х дверный (Распашной с белым стеклом)"/>
        <s v="Локер 2-х дверный (Распашной с черным стеклом)"/>
        <s v="Локер 2-х дверный (Гармошка) с системой Push to Move/Левый)"/>
        <s v="Локер 2-х дверный (&quot;Гармошка&quot; с белым стеклом)"/>
        <s v="Локер 2-х дверный (Гармошка)"/>
        <s v="Локер 2-х дверный (&quot;Гармошка&quot; с черным стеклом)"/>
        <s v="Локер 2-х дверный (&quot;Гармошка&quot; с системой Push to Move/Левый)"/>
        <s v="Локер 2-х дверный (&quot;Гармошка&quot; с системой Push to Move/Правый)"/>
        <s v="Локер 2-х дверный (&quot;Гармошка&quot;)"/>
        <s v="Локер 2-х дверный (&quot;Гармошка&quot; с системой Push to Open/Правый)" u="1"/>
        <s v="Локер 2-х дверный (&quot;Гармошка&quot; с системой Push to Open/Левый)" u="1"/>
        <s v="Локер 2-х дверный (Гармошка) с системой Push to Open/Правый)" u="1"/>
        <s v="Лайт 2-х дверный (ЛДСП, Зеркало)" u="1"/>
        <s v="Лайт 3-х дверный (ЛДСП, Зеркало)" u="1"/>
        <s v="Локер 2-х дверный (Гармошка) с системой Push to Open/Левый)" u="1"/>
      </sharedItems>
    </cacheField>
    <cacheField name="Признак_ВИ_Шкафа" numFmtId="0">
      <sharedItems count="2">
        <s v="Основной вариант"/>
        <s v="Новый вариант"/>
      </sharedItems>
    </cacheField>
    <cacheField name="Компановка корпуса" numFmtId="0">
      <sharedItems count="2">
        <s v="Локер (без полок)"/>
        <s v="Локер полки и штанга"/>
      </sharedItems>
    </cacheField>
    <cacheField name="Атрибут" numFmtId="0">
      <sharedItems count="1">
        <s v="Sum-База_ОПТ"/>
      </sharedItems>
    </cacheField>
    <cacheField name="Значение" numFmtId="0">
      <sharedItems containsSemiMixedTypes="0" containsString="0" containsNumber="1" containsInteger="1" minValue="8420" maxValue="17770" count="22">
        <n v="12370"/>
        <n v="13760"/>
        <n v="9360"/>
        <n v="16150"/>
        <n v="14360"/>
        <n v="12150"/>
        <n v="10860"/>
        <n v="12850"/>
        <n v="11490"/>
        <n v="9580"/>
        <n v="10650"/>
        <n v="17290"/>
        <n v="15300"/>
        <n v="13400"/>
        <n v="11900"/>
        <n v="14030"/>
        <n v="12750"/>
        <n v="10960"/>
        <n v="13890"/>
        <n v="8420"/>
        <n v="16220"/>
        <n v="1777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579.749532754628" createdVersion="7" refreshedVersion="7" minRefreshableVersion="3" recordCount="73" xr:uid="{D3C2CC5D-9660-48B1-A2D8-6B5BDF8564B8}">
  <cacheSource type="external" connectionId="4"/>
  <cacheFields count="9">
    <cacheField name="Номенклатура" numFmtId="0">
      <sharedItems count="66">
        <s v="Комплект доводчиков SS EM TOPLINE L, 2 дв. открывание (ХЕТТИХ)"/>
        <s v="Комплект доводчиков SS EM TOPLINE L, 3 дв. открывание (ХЕТТИХ)"/>
        <s v="Комплект доводчиков TOPLINE М для 3 дв. шкафа"/>
        <s v="Комплект Silent System, на открывание, без регулировки, 2 двери, 50кг, Topline L"/>
        <s v="Комплект Silent System, на закрывание, за профилем, 2 двери, 25 кг, Topline M"/>
        <s v="Комплект Silent System, на открывание, без регулировки, 3/4 двери, 50кг, Topline L"/>
        <s v="Система доводчиков универсальная 1-дверная"/>
        <s v="Комплект доводчиков TOPLINE М для 2 дв. шкафа"/>
        <s v="Комплект доп. полок &quot;Локер&quot;- (ШК 800)"/>
        <s v="Комплект доп. полок &quot;Локер&quot;- (ШК 600)"/>
        <s v="Комплект доп. полок &quot;Локер&quot;- (ШК 1000)"/>
        <s v="Дополнительные полки &quot;Эста&quot; 776х492, 3шт секция ШК800х580"/>
        <s v="Дополнительные полки &quot;Эста&quot; 876х492, 3шт секция ШК900х580"/>
        <s v="Дополнительные полки &quot;Эста&quot; 976х492, 3шт секция ШК1000х580"/>
        <s v="Модуль с выдвижными ящиками &quot;Экспресс&quot; 576х388х341 секция ШК600х440"/>
        <s v="Модуль &quot;Эста&quot; 776х388 секция 800"/>
        <s v="Модуль универсальный - с выдвижными ящиками/476х388х336_Секция 500х440"/>
        <s v="Модуль универсальный - с выдвижными ящиками/476х388х471_Секция 500х600"/>
        <s v="Модуль универсальный - с выдвижными ящиками/576х388х336_Секция 600х440"/>
        <s v="Модуль универсальный - с выдвижными ящиками/576х388х471_Секция 600х600"/>
        <s v="Модуль универсальный - с выдвижными ящиками/676х388х336_Секция 700х440"/>
        <s v="Модуль универсальный - с выдвижными ящиками/676х388х471_Секция 700х600"/>
        <s v="Модуль универсальный - с выдвижными ящиками/776х388х336_Секция 800х440"/>
        <s v="Модуль универсальный - с выдвижными ящиками/776х388х471_Секция 800х600"/>
        <s v="Модуль &quot;Эста&quot; 876х388 секция 900"/>
        <s v="Модуль &quot;Эста&quot; 976х388 секция 1000"/>
        <s v="Модуль с выдвижными ящиками &quot;Экспресс&quot; 676х388х341 секция ШК700х440"/>
        <s v="Модуль с выдвижными ящиками &quot;Экспресс&quot; 776х388х341 секция ШК800х440"/>
        <s v="Модуль с выдвижными ящиками &quot;Экспресс&quot; 476х388х341 секция ШК500х440"/>
        <s v="Модуль универсальный - с выдвижными ящиками/976х388х471_Секция 1000х600"/>
        <s v="Комплект направляющих &quot;Экспресс&quot; 1167 ШК1200 Цветной профиль"/>
        <s v="Комплект направляющих &quot;Экспресс&quot; 1567 ШК1600 Цветной профиль"/>
        <s v="Комплект направляющих &quot;Экспресс&quot; 1759 ШК1800 Цветной профиль"/>
        <s v="Комплект направляющих &quot;Экспресс&quot; 1367 ШК1400 Цветной профиль"/>
        <s v="Комплект направляющих &quot;Экспресс&quot; 2059 ШК2100 Цветной профиль"/>
        <s v="Комплект направляющих &quot;Экспресс&quot; 2359 ШК2400 Цветной профиль"/>
        <s v="Упаковка фурнитуры &quot;Локер&quot; - Wing LIne(Push to open)/(ШК1200)_левый"/>
        <s v="Упаковка фурнитуры &quot;Локер&quot; - Wing LIne(Push to open)/(ШК1200)_правый"/>
        <s v="Упаковка фурнитуры &quot;Локер&quot; - Wing LIne/(ШК1200)"/>
        <s v="Ручка &quot;Локер&quot;"/>
        <s v="Упаковка фурнитуры &quot;Локер&quot; - Wing LIne/(ШК800)"/>
        <s v="Упаковка фурнитуры &quot;Локер&quot; - Распашной/(ШК800/1000/1200)"/>
        <s v="Упаковка фурнитуры &quot;Локер&quot; - Wing LIne(Push to open)/(ШК1000)_левый"/>
        <s v="Упаковка фурнитуры &quot;Локер&quot; - Wing LIne(Push to open)/(ШК1000)_правый"/>
        <s v="Упаковка фурнитуры &quot;Локер&quot; - Wing LIne(Push to open)/(ШК600)_левый"/>
        <s v="Упаковка фурнитуры &quot;Локер&quot; - Wing LIne(Push to open)/(ШК600)_правый"/>
        <s v="Упаковка фурнитуры &quot;Локер&quot; - Wing LIne/(ШК1000)"/>
        <s v="Упаковка фурнитуры &quot;Локер&quot; - Wing LIne/(ШК600)"/>
        <s v="Упаковка фурнитуры &quot;Локер&quot; - Угловой/(ШК955)"/>
        <s v="Упаковка фурнитуры &quot;Локер&quot; - Распашной/(ШК600)"/>
        <s v="Упаковка фурнитуры &quot;Локер&quot; - Wing LIne(Push to open)/(ШК800)_левый"/>
        <s v="Упаковка фурнитуры &quot;Локер&quot; - Wing LIne(Push to open)/(ШК800)_правый"/>
        <s v="Фурнитура  для дверей &quot;Локер&quot; Wing Line L (800)" u="1"/>
        <s v="Модуль универсальный - с выдвижными ящиками/476х388х341_Секция 500х440" u="1"/>
        <s v="Модуль универсальный - с выдвижными ящиками/576х388х341_Секция 600х440" u="1"/>
        <s v="Модуль универсальный - с выдвижными ящиками/676х388х341_Секция 700х440" u="1"/>
        <s v="Модуль универсальный - с выдвижными ящиками/776х388х341_Секция 800х440" u="1"/>
        <s v="Упаковка фурнитуры &quot;Локер&quot; - Распашной/(ШК800)" u="1"/>
        <s v="Модуль универсальный - с выдвижными ящиками/976х388х491_Секция 1000х600" u="1"/>
        <s v="Модуль универсальный - с выдвижными ящиками/476х388х491_Секция 500х600" u="1"/>
        <s v="Модуль универсальный - с выдвижными ящиками/576х388х491_Секция 600х600" u="1"/>
        <s v="Модуль универсальный - с выдвижными ящиками/676х388х491_Секция 700х600" u="1"/>
        <s v="Модуль универсальный - с выдвижными ящиками/776х388х491_Секция 800х600" u="1"/>
        <s v="Упаковка фурнитуры &quot;Локер&quot; - Распашной/(ШК600/800/1000)" u="1"/>
        <s v="Фурнитура  для дверей &quot;Локер&quot; (Push to open) правый" u="1"/>
        <s v="Фурнитура  для дверей &quot;Локер&quot; (Push to open) левый" u="1"/>
      </sharedItems>
    </cacheField>
    <cacheField name="Вариант_исполнения" numFmtId="0">
      <sharedItems count="7">
        <s v="осн."/>
        <s v="Белый снег"/>
        <s v="Бетон"/>
        <s v="Белый профиль"/>
        <s v="Осн"/>
        <s v="Дуб табачный" u="1"/>
        <s v="Венге" u="1"/>
      </sharedItems>
    </cacheField>
    <cacheField name="Серия" numFmtId="0">
      <sharedItems count="6">
        <s v="Доводчики"/>
        <s v="Локер"/>
        <s v="Эста"/>
        <s v="Экспресс"/>
        <s v="Модуль универсальный"/>
        <s v="Оптим"/>
      </sharedItems>
    </cacheField>
    <cacheField name="Ширина" numFmtId="0">
      <sharedItems containsBlank="1" count="16">
        <s v=""/>
        <m/>
        <s v="800"/>
        <s v="600"/>
        <s v="1000"/>
        <s v="900"/>
        <s v="500"/>
        <s v="700"/>
        <s v="1200"/>
        <s v="1600"/>
        <s v="1800"/>
        <s v="1400"/>
        <s v="2100"/>
        <s v="2400"/>
        <s v="955"/>
        <s v="300" u="1"/>
      </sharedItems>
    </cacheField>
    <cacheField name="Глубина" numFmtId="0">
      <sharedItems containsBlank="1" count="9">
        <s v=""/>
        <m/>
        <s v="530"/>
        <s v="512"/>
        <s v="580"/>
        <s v="440"/>
        <s v="660"/>
        <s v="600"/>
        <s v="1"/>
      </sharedItems>
    </cacheField>
    <cacheField name="Высота" numFmtId="0">
      <sharedItems containsBlank="1" count="5">
        <s v=""/>
        <m/>
        <s v="2200"/>
        <s v="388"/>
        <s v="2400" u="1"/>
      </sharedItems>
    </cacheField>
    <cacheField name="Комплектующая" numFmtId="0">
      <sharedItems count="8">
        <s v="Доводчики"/>
        <s v="Доп. Полки"/>
        <s v="Модуль"/>
        <s v="Направляющие"/>
        <s v="Фурнитура Локер"/>
        <s v="Угловой терминал" u="1"/>
        <s v="Дверь-купе ДСП" u="1"/>
        <s v="Корпус" u="1"/>
      </sharedItems>
    </cacheField>
    <cacheField name="Атрибут" numFmtId="0">
      <sharedItems count="1">
        <s v="База_ОПТ"/>
      </sharedItems>
    </cacheField>
    <cacheField name="Значение" numFmtId="0">
      <sharedItems containsSemiMixedTypes="0" containsString="0" containsNumber="1" containsInteger="1" minValue="590" maxValue="76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579.749534027775" createdVersion="7" refreshedVersion="7" minRefreshableVersion="3" recordCount="18" xr:uid="{C65B1415-1638-4C5E-B108-14F9FFECB192}">
  <cacheSource type="external" connectionId="5"/>
  <cacheFields count="13">
    <cacheField name="Код" numFmtId="0">
      <sharedItems containsSemiMixedTypes="0" containsString="0" containsNumber="1" containsInteger="1" minValue="1954" maxValue="9345" count="18">
        <n v="9125"/>
        <n v="9126"/>
        <n v="9101"/>
        <n v="9102"/>
        <n v="9104"/>
        <n v="9105"/>
        <n v="9332"/>
        <n v="9333"/>
        <n v="9334"/>
        <n v="9344"/>
        <n v="9329"/>
        <n v="9330"/>
        <n v="9345"/>
        <n v="1954"/>
        <n v="1955"/>
        <n v="1982"/>
        <n v="1983"/>
        <n v="9337"/>
      </sharedItems>
    </cacheField>
    <cacheField name="Код_Номенклатуры" numFmtId="0">
      <sharedItems containsSemiMixedTypes="0" containsString="0" containsNumber="1" containsInteger="1" minValue="31481" maxValue="39583" count="6">
        <n v="38858"/>
        <n v="38869"/>
        <n v="38870"/>
        <n v="39583"/>
        <n v="31481"/>
        <n v="32249"/>
      </sharedItems>
    </cacheField>
    <cacheField name="Код_ВИ" numFmtId="0">
      <sharedItems containsSemiMixedTypes="0" containsString="0" containsNumber="1" containsInteger="1" minValue="1" maxValue="6" count="5">
        <n v="1"/>
        <n v="2"/>
        <n v="4"/>
        <n v="6"/>
        <n v="3"/>
      </sharedItems>
    </cacheField>
    <cacheField name="Номенклатура" numFmtId="0">
      <sharedItems count="23">
        <s v="Стеллаж &quot;Ник-3&quot; куб 4 ячейки 709х301х700"/>
        <s v="Стеллаж &quot;Ник-3&quot; 4 ячейки 355х301х1400"/>
        <s v="Стеллаж &quot;Ник-3&quot; 8 ячеек 709х301х1400"/>
        <s v="Стеллаж &quot;Ник-3&quot; куб 1 ячейка 355х301х350"/>
        <s v="Стеллаж &quot;Ник&quot; высокий 730х250х1732"/>
        <s v="Стол приставной &quot;Ник&quot; 473х300х580"/>
        <s v="Стеллаж &quot;Ник&quot; куб 1 ячейка 355х376х350" u="1"/>
        <s v="Стеллаж &quot;Ник-2&quot; 4 ячейки 355х376х1400" u="1"/>
        <s v="Стеллаж &quot;Ник&quot; куб 8 ячеек 709х376х1400" u="1"/>
        <s v="Вешалка &quot;Ник&quot; настенная 600х283х1200" u="1"/>
        <s v="Стеллаж &quot;Ник&quot; высокий 730х250х1752" u="1"/>
        <s v="Стеллаж &quot;Ник&quot; куб 1 ячейка 355х376х350 евр" u="1"/>
        <s v="Стеллаж &quot;Ник-2&quot; куб 1 ячейка 355х376х350" u="1"/>
        <s v="Стеллаж &quot;Ник&quot; 8 ячеек 709х376х1400" u="1"/>
        <s v="Стеллаж &quot;Ник&quot; куб 4 ячейки 709х376х700" u="1"/>
        <s v="Стеллаж &quot;Ник-2&quot; куб 4 ячейки 709х376х700" u="1"/>
        <s v="Стол подставной &quot;Ник&quot; 473х300х580" u="1"/>
        <s v="Стол приставной &quot;Ник-2&quot; 473х300х580" u="1"/>
        <s v="Стол подкатной &quot;Ник&quot; 473х300х580" u="1"/>
        <s v="Стеллаж &quot;Ник-2&quot; высокий 730х250х1732" u="1"/>
        <s v="Стеллаж &quot;Ник&quot; куб 4 ячейки 355х376х1400" u="1"/>
        <s v="Стеллаж &quot;Ник-2&quot; 8 ячеек 709х376х1400" u="1"/>
        <s v="Стеллаж &quot;Ник&quot; 4 ячейки 355х376х1400" u="1"/>
      </sharedItems>
    </cacheField>
    <cacheField name="Вариант_исполнения" numFmtId="0">
      <sharedItems count="7">
        <s v="Белый снег"/>
        <s v="Бетон"/>
        <s v="Ясень Анкор светлый"/>
        <s v="Сонома" u="1"/>
        <s v="Ясень Шимо светлый" u="1"/>
        <s v="Дуб Молочный" u="1"/>
        <s v="Венге" u="1"/>
      </sharedItems>
    </cacheField>
    <cacheField name="Серия" numFmtId="0">
      <sharedItems count="1">
        <s v="Ник"/>
      </sharedItems>
    </cacheField>
    <cacheField name="Ширина" numFmtId="0">
      <sharedItems count="10">
        <s v="709"/>
        <s v="355"/>
        <s v="730"/>
        <s v="473"/>
        <s v="" u="1"/>
        <s v="700" u="1"/>
        <s v="300" u="1"/>
        <s v="800" u="1"/>
        <s v="500" u="1"/>
        <s v="600" u="1"/>
      </sharedItems>
    </cacheField>
    <cacheField name="Глубина" numFmtId="0">
      <sharedItems count="8">
        <s v="301"/>
        <s v="250"/>
        <s v="300"/>
        <s v="" u="1"/>
        <s v="283" u="1"/>
        <s v="440" u="1"/>
        <s v="376" u="1"/>
        <s v="600" u="1"/>
      </sharedItems>
    </cacheField>
    <cacheField name="Высота" numFmtId="0">
      <sharedItems count="10">
        <s v="700"/>
        <s v="1400"/>
        <s v="350"/>
        <s v="1732"/>
        <s v="1752"/>
        <s v="580"/>
        <s v="" u="1"/>
        <s v="1200" u="1"/>
        <s v="2200" u="1"/>
        <s v="2400" u="1"/>
      </sharedItems>
    </cacheField>
    <cacheField name="Комплектующая" numFmtId="0">
      <sharedItems count="8">
        <s v="Стеллаж"/>
        <s v="Стеллаж высокий"/>
        <s v="Стол подставной"/>
        <s v="Вешалка настенная" u="1"/>
        <s v="Угловой терминал" u="1"/>
        <s v="Стол подкатной" u="1"/>
        <s v="Доп. Полки" u="1"/>
        <s v="Модуль" u="1"/>
      </sharedItems>
    </cacheField>
    <cacheField name="КоэффициентОпта" numFmtId="0">
      <sharedItems containsSemiMixedTypes="0" containsString="0" containsNumber="1" minValue="1.5" maxValue="1.5" count="1">
        <n v="1.5"/>
      </sharedItems>
    </cacheField>
    <cacheField name="Атрибут" numFmtId="0">
      <sharedItems count="1">
        <s v="База_ОПТ"/>
      </sharedItems>
    </cacheField>
    <cacheField name="Значение" numFmtId="0">
      <sharedItems containsSemiMixedTypes="0" containsString="0" containsNumber="1" containsInteger="1" minValue="770" maxValue="4300" count="12">
        <n v="2300"/>
        <n v="2580"/>
        <n v="2400"/>
        <n v="2690"/>
        <n v="3840"/>
        <n v="4300"/>
        <n v="870"/>
        <n v="770"/>
        <n v="2010"/>
        <n v="1800"/>
        <n v="1200"/>
        <n v="106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579.749535416668" createdVersion="7" refreshedVersion="7" minRefreshableVersion="3" recordCount="189" xr:uid="{0B75EFCB-6D7F-44F0-942C-B2F9605E2E4D}">
  <cacheSource type="external" connectionId="8"/>
  <cacheFields count="13">
    <cacheField name="Код" numFmtId="0">
      <sharedItems containsSemiMixedTypes="0" containsString="0" containsNumber="1" containsInteger="1" minValue="962" maxValue="9097"/>
    </cacheField>
    <cacheField name="Код_Номенклатуры" numFmtId="0">
      <sharedItems containsSemiMixedTypes="0" containsString="0" containsNumber="1" containsInteger="1" minValue="23339" maxValue="23392" count="28">
        <n v="23339"/>
        <n v="23340"/>
        <n v="23341"/>
        <n v="23342"/>
        <n v="23343"/>
        <n v="23344"/>
        <n v="23345"/>
        <n v="23346"/>
        <n v="23348"/>
        <n v="23347"/>
        <n v="23349"/>
        <n v="23350"/>
        <n v="23351"/>
        <n v="23352"/>
        <n v="23353"/>
        <n v="23354"/>
        <n v="23355"/>
        <n v="23356"/>
        <n v="23357"/>
        <n v="23358"/>
        <n v="23359"/>
        <n v="23360"/>
        <n v="23387"/>
        <n v="23388"/>
        <n v="23389"/>
        <n v="23390"/>
        <n v="23391"/>
        <n v="23392"/>
      </sharedItems>
    </cacheField>
    <cacheField name="Код_ВИ" numFmtId="0">
      <sharedItems containsSemiMixedTypes="0" containsString="0" containsNumber="1" containsInteger="1" minValue="1" maxValue="17" count="13">
        <n v="16"/>
        <n v="14"/>
        <n v="13"/>
        <n v="17"/>
        <n v="15"/>
        <n v="12"/>
        <n v="1"/>
        <n v="2"/>
        <n v="3"/>
        <n v="4"/>
        <n v="7"/>
        <n v="5"/>
        <n v="8"/>
      </sharedItems>
    </cacheField>
    <cacheField name="Номенклатура" numFmtId="0">
      <sharedItems count="28">
        <s v="Дверь-купе &quot;Elegant&quot; ДСП 1 секция 2252х583 + фурнитура"/>
        <s v="Дверь-купе &quot;Elegant&quot; ДСП 1 секция 2252х683 + фурнитура"/>
        <s v="Дверь-купе &quot;Elegant&quot; ДСП 1 секция 2252х783 + фурнитура"/>
        <s v="Дверь-купе &quot;Elegant&quot; ДСП 1 секция 2252х883 + фурнитура"/>
        <s v="Дверь-купе &quot;Elegant&quot; ДСП 1 секция 2452х583 + фурнитура"/>
        <s v="Дверь-купе &quot;Elegant&quot; ДСП 1 секция 2452х683 + фурнитура"/>
        <s v="Дверь-купе &quot;Elegant&quot; ДСП 1 секция 2452х783 + фурнитура"/>
        <s v="Дверь-купе &quot;Elegant&quot; ДСП 1 секция 2452х883 + фурнитура"/>
        <s v="Дверь-купе &quot;Elegant&quot; ДСП 1 секция 2552х683 + фурнитура"/>
        <s v="Дверь-купе &quot;Elegant&quot; ДСП 1 секция 2552х783 + фурнитура"/>
        <s v="Дверь-купе &quot;Elegant&quot; ДСП 1 секция 2552х883 + фурнитура"/>
        <s v="Дверь-купе &quot;Elegant&quot; Зеркало 1 секция 2252х583 + фурнитура"/>
        <s v="Дверь-купе &quot;Elegant&quot; Зеркало 1 секция 2252х683 + фурнитура"/>
        <s v="Дверь-купе &quot;Elegant&quot; Зеркало 1 секция 2252х783 + фурнитура"/>
        <s v="Дверь-купе &quot;Elegant&quot; Зеркало 1 секция 2252х883 + фурнитура"/>
        <s v="Дверь-купе &quot;Elegant&quot; Зеркало 1 секция 2452х583 + фурнитура"/>
        <s v="Дверь-купе &quot;Elegant&quot; Зеркало 1 секция 2452х683 + фурнитура"/>
        <s v="Дверь-купе &quot;Elegant&quot; Зеркало 1 секция 2452х783 + фурнитура"/>
        <s v="Дверь-купе &quot;Elegant&quot; Зеркало 1 секция 2452х883 + фурнитура"/>
        <s v="Дверь-купе &quot;Elegant&quot; Зеркало 1 секция 2552х683 + фурнитура"/>
        <s v="Дверь-купе &quot;Elegant&quot; Зеркало 1 секция 2552х783 + фурнитура"/>
        <s v="Дверь-купе &quot;Elegant&quot; Зеркало 1 секция 2552х883 + фурнитура"/>
        <s v="Комплект направляющих &quot;Elegant&quot; 1180"/>
        <s v="Комплект направляющих &quot;Elegant&quot; 1380"/>
        <s v="Комплект направляющих &quot;Elegant&quot; 1580"/>
        <s v="Комплект направляющих &quot;Elegant&quot; 1760"/>
        <s v="Комплект направляющих &quot;Elegant&quot; 2050"/>
        <s v="Комплект направляющих &quot;Elegant&quot; 2700"/>
      </sharedItems>
    </cacheField>
    <cacheField name="Вариант_исполнения" numFmtId="0">
      <sharedItems count="21">
        <s v="Ясень Анкор светлый/Белый"/>
        <s v="Ясень Анкор светлый/Бронза"/>
        <s v="Ясень Анкор светлый/Серебро"/>
        <s v="Ясень Анкор светлый/Черный матовый"/>
        <s v="Ясень Анкор светлый/Шампань"/>
        <s v="Белый снег/Белый профиль"/>
        <s v="Белый снег/Серебро"/>
        <s v="Бетон Чикаго светлый/Серебро"/>
        <s v="Венге/Серебро"/>
        <s v="Дуб Крафт табачный/Бронза"/>
        <s v="Ясень Шимо св./Серебро"/>
        <s v="Ясень Шимо светлый/Серебро"/>
        <s v="Бетон/Серебро"/>
        <s v="Осн/Белый профиль"/>
        <s v="Осн/Бронза"/>
        <s v="Осн/Серебро"/>
        <s v="Белый"/>
        <s v="Бронза"/>
        <s v="Серебро"/>
        <s v="Черный матовый"/>
        <s v="Серый диамант/Серебро"/>
      </sharedItems>
    </cacheField>
    <cacheField name="Серия" numFmtId="0">
      <sharedItems count="1">
        <s v="Элегант"/>
      </sharedItems>
    </cacheField>
    <cacheField name="Ширина" numFmtId="0">
      <sharedItems count="10">
        <s v="583"/>
        <s v="683"/>
        <s v="783"/>
        <s v="883"/>
        <s v="1180"/>
        <s v="1380"/>
        <s v="1580"/>
        <s v="1760"/>
        <s v="2050"/>
        <s v="2700"/>
      </sharedItems>
    </cacheField>
    <cacheField name="Глубина" numFmtId="0">
      <sharedItems containsBlank="1" count="2">
        <m/>
        <s v=""/>
      </sharedItems>
    </cacheField>
    <cacheField name="Высота" numFmtId="0">
      <sharedItems containsBlank="1" count="5">
        <s v="2252"/>
        <s v="2452"/>
        <s v="2552"/>
        <s v=""/>
        <m/>
      </sharedItems>
    </cacheField>
    <cacheField name="Комплектующая" numFmtId="0">
      <sharedItems count="2">
        <s v="Дверь-купе"/>
        <s v="Направляющие"/>
      </sharedItems>
    </cacheField>
    <cacheField name="КоэффициентОпта" numFmtId="0">
      <sharedItems containsSemiMixedTypes="0" containsString="0" containsNumber="1" minValue="1.4" maxValue="1.4" count="1">
        <n v="1.4"/>
      </sharedItems>
    </cacheField>
    <cacheField name="Атрибут" numFmtId="0">
      <sharedItems count="1">
        <s v="База_ОПТ"/>
      </sharedItems>
    </cacheField>
    <cacheField name="Значение" numFmtId="0">
      <sharedItems containsSemiMixedTypes="0" containsString="0" containsNumber="1" containsInteger="1" minValue="1750" maxValue="93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579.749544560182" createdVersion="7" refreshedVersion="7" minRefreshableVersion="3" recordCount="2420" xr:uid="{8388D206-0649-4867-877C-A33DA8D779AE}">
  <cacheSource type="external" connectionId="11"/>
  <cacheFields count="12">
    <cacheField name="CKU" numFmtId="0">
      <sharedItems containsBlank="1"/>
    </cacheField>
    <cacheField name="Серия" numFmtId="0">
      <sharedItems count="2">
        <s v="Экспресс"/>
        <s v="Экспресс Хит" u="1"/>
      </sharedItems>
    </cacheField>
    <cacheField name="Тип_шкафа" numFmtId="0">
      <sharedItems count="4">
        <s v="2-х дверный купе"/>
        <s v="3-х дверный купе"/>
        <s v="2-х дверный" u="1"/>
        <s v="3-х дверный" u="1"/>
      </sharedItems>
    </cacheField>
    <cacheField name="Вариант исполнения шкафа" numFmtId="0">
      <sharedItems count="2">
        <s v="Бетон"/>
        <s v="Венге"/>
      </sharedItems>
    </cacheField>
    <cacheField name="Ширина" numFmtId="0">
      <sharedItems containsSemiMixedTypes="0" containsString="0" containsNumber="1" containsInteger="1" minValue="900" maxValue="2400" count="8">
        <n v="2200"/>
        <n v="1800"/>
        <n v="2400"/>
        <n v="2100"/>
        <n v="1200"/>
        <n v="1600"/>
        <n v="1400"/>
        <n v="900"/>
      </sharedItems>
    </cacheField>
    <cacheField name="Высота" numFmtId="0">
      <sharedItems containsSemiMixedTypes="0" containsString="0" containsNumber="1" containsInteger="1" minValue="440" maxValue="2400" count="5">
        <n v="600"/>
        <n v="2200"/>
        <n v="440"/>
        <n v="2400"/>
        <n v="1900"/>
      </sharedItems>
    </cacheField>
    <cacheField name="Глубина" numFmtId="0">
      <sharedItems containsSemiMixedTypes="0" containsString="0" containsNumber="1" containsInteger="1" minValue="440" maxValue="2400" count="8">
        <n v="1400"/>
        <n v="440"/>
        <n v="600"/>
        <n v="1800"/>
        <n v="2100"/>
        <n v="2400"/>
        <n v="1200"/>
        <n v="1600"/>
      </sharedItems>
    </cacheField>
    <cacheField name="Наименование шкафа на сайте" numFmtId="0">
      <sharedItems count="120">
        <s v="Экспресс 2 2-х дверный (Абстракция бело-голубая)"/>
        <s v="Широкий Экспресс 2 2-х дверный (ЛДСП, Зеркало)"/>
        <s v="Экспресс 2 2-х дверный (Фиолетовый дым)"/>
        <s v="Экспресс 2 3-х дверный (ЛДСП, Зеркало)"/>
        <s v="Экспресс 2 3-х дверный (Фиолетовый дым)"/>
        <s v="Экспресс 2 3-х дверный (Зеркало, ЛДСП)"/>
        <s v="Экспресс 2 3-х дверный (Квадраты)"/>
        <s v="Экспресс 2-х дверный (Фото№1007 Ночной мост)"/>
        <s v="Экспресс 2-х дверный (Фото№1013 Золотой орнамент)"/>
        <s v="Экспресс 2-х дверный (Фото№1025 Орхидея белая)"/>
        <s v="Экспресс 3-х дверный (Зеркало)"/>
        <s v="Экспресс 3-х дверный (ЛДСП)"/>
        <s v="Экспресс 3-х дверный (Фото№1002 Абстракция фиолетовая)"/>
        <s v="Экспресс 3-х дверный (Фото№1005 Абстракция розовая)"/>
        <s v="Экспресс 3-х дверный (Фото№1015 Морские волны)"/>
        <s v="Экспресс 3-х дверный (Фото№1018 Абстракция фиолетово-золотая)"/>
        <s v="Экспресс 3-х дверный (Фото№1023 Сакура)"/>
        <s v="Экспресс 3-х дверный Комби (Зеркало, ЛДСП)"/>
        <s v="Экспресс 3-х дверный (Фото№1026 Ночной Лондон)"/>
        <s v="Экспресс 3-х дверный (Фото№1014 Закат над городом)"/>
        <s v="Экспресс 3-х дверный (Фото№1001 Абстракция серая)"/>
        <s v="Экспресс 3-х дверный (Фото№1004 Джунгли темные)"/>
        <s v="Экспресс 3-х дверный (Фото№1008 Ночная магистраль)"/>
        <s v="Экспресс 2-х дверный (Фото№1023 Сакура)"/>
        <s v="Экспресс 2-х дверный (Фото№1024 Париж)"/>
        <s v="Экспресс 2-х дверный Комби (Зеркало, ЛДСП)"/>
        <s v="Экспресс 2-х дверный (Фото№1020 Пионы)"/>
        <s v="Экспресс 2-х дверный (Фото№1018 Абстракция фиолетово-золотая)"/>
        <s v="Экспресс 2-х дверный (Фото№1011 Фиолетовый дым)"/>
        <s v="Экспресс 2-х дверный (Фото№1017 Буквы)"/>
        <s v="Экспресс 2-х дверный (Фото№1015 Морские волны)"/>
        <s v="Экспресс 2-х дверный (Фото№1005 Абстракция розовая)"/>
        <s v="Экспресс 2-х дверный (Фото№1006 Абстракция оранжево-голубая)"/>
        <s v="Экспресс 2-х дверный (Фото№1010 Абстракция бело-голубая)"/>
        <s v="Экспресс 2-х дверный (ЛДСП, Зеркало)"/>
        <s v="Экспресс 2-х дверный (ЛДСП)"/>
        <s v="Экспресс 2-х дверный (Фото№1003 Листья золото)"/>
        <s v="Экспресс 2 3-х дверный (Ленты)"/>
        <s v="Экспресс 2 3-х дверный (Листья золото)"/>
        <s v="Экспресс 2 3-х дверный (Морские волны)"/>
        <s v="Экспресс 2 3-х дверный (Ночной Лондон)"/>
        <s v="Экспресс 2 3-х дверный (Ночной мост)"/>
        <s v="Экспресс 2 3-х дверный (Орхидея белая)"/>
        <s v="Экспресс 2 3-х дверный (Париж)"/>
        <s v="Экспресс 2 3-х дверный (Пионы)"/>
        <s v="Экспресс 2 3-х дверный (Сакура)"/>
        <s v="Экспресс 2 3-х дверный (Улица)"/>
        <s v="Экспресс 2 3-х дверный (Шары)"/>
        <s v="Экспресс 2 3-х дверный (Шелк)"/>
        <s v="Экспресс 2 3-х дверный (Абстракция бело-голубая)"/>
        <s v="Экспресс 2 3-х дверный (Абстракция серая)"/>
        <s v="Экспресс 2 3-х дверный (Абстракция фиолетовая)"/>
        <s v="Экспресс 2 3-х дверный (Абстракция фиолетово-золотая)"/>
        <s v="Экспресс 2 3-х дверный (Калейдоскоп)"/>
        <s v="Экспресс 2 3-х дверный (ЛДСП)"/>
        <s v="Экспресс 2 3-х дверный (Зеркало)"/>
        <s v="Экспресс 2 2-х дверный (Абстракция серая)"/>
        <s v="Экспресс 2 2-х дверный (Абстракция фиолетовая)"/>
        <s v="Экспресс 2 2-х дверный (Абстракция фиолетово-золотая)"/>
        <s v="Экспресс 2 2-х дверный (Калейдоскоп)"/>
        <s v="Экспресс 2 2-х дверный (Квадраты)"/>
        <s v="Экспресс 2 2-х дверный (Ленты)"/>
        <s v="Экспресс 2 2-х дверный (Листья золото)"/>
        <s v="Экспресс 2 2-х дверный (Морские волны)"/>
        <s v="Экспресс 2 2-х дверный (Ночной Лондон)"/>
        <s v="Экспресс 2 2-х дверный (Ночной мост)"/>
        <s v="Экспресс 2 2-х дверный (Орхидея белая)"/>
        <s v="Экспресс 2 2-х дверный (Париж)"/>
        <s v="Экспресс 2 2-х дверный (Пионы)"/>
        <s v="Экспресс 2 2-х дверный (Сакура)"/>
        <s v="Экспресс 2 2-х дверный (Улица)"/>
        <s v="Экспресс 2 2-х дверный (Шары)"/>
        <s v="Экспресс 2 2-х дверный (Шелк)"/>
        <s v="Широкий Экспресс 2 2-х дверный (Зеркало)"/>
        <s v="Широкий Экспресс 2 2-х дверный (ЛДСП)"/>
        <s v="Экспресс 2-х дверный Мини"/>
        <s v="Широкий Экспресс 2-х дверный (Зеркало, ЛДСП)"/>
        <s v="Экспресс Хит 2-х дверный (Зеркало)"/>
        <s v="Экспресс Хит 2-х дверный Комби (ЛДСП, Зеркало)"/>
        <s v="Широкий Экспресс 2-х дверный (ЛДСП)"/>
        <s v="Широкий Экспресс 2-х дверный (Зеркало)"/>
        <s v="Экспресс Хит 2-х дверный (Фото№1025 Орхидея белая)"/>
        <s v="Экспресс Хит 2-х дверный (ЛДСП, Зеркало)"/>
        <s v="Экспресс Хит 2-х дверный (ЛДСП)"/>
        <s v="Экспресс 3-х дверный (Фото№1025 Орхидея белая)"/>
        <s v="Экспресс 3-х дверный (Фото№1022 Улица)"/>
        <s v="Экспресс 3-х дверный (Фото№1013 Золотой орнамент)"/>
        <s v="Экспресс 2-х дверный (Фото№1008 Ночная магистраль)"/>
        <s v="Экспресс 3-х дверный (Фото№1017 Буквы)"/>
        <s v="Экспресс 2-х дверный (Фото№1022 Улица)"/>
        <s v="Экспресс 2-х дверный (Фото№1014 Закат над городом)"/>
        <s v="Экспресс 2-х дверный (Фото№1026 Ночной Лондон)"/>
        <s v="Экспресс 2-х дверный (Фото№1004 Джунгли темные)"/>
        <s v="Экспресс 2-х дверный (Фото№1002 Абстракция фиолетовая)"/>
        <s v="Экспресс 2 2-х дверный (Зеркало)"/>
        <s v="Экспресс 3-х дверный (Фото№1007 Ночной мост)"/>
        <s v="Экспресс 2-х дверный (Фото№1016 Абстракция золотая пыль)"/>
        <s v="Экспресс 2 2-х дверный (ЛДСП)"/>
        <s v="Экспресс 2 2-х дверный (ЛДСП, Зеркало)"/>
        <s v="Экспресс 2 Хит 2-х дверный (Зеркало)"/>
        <s v="Экспресс 2 Хит 2-х дверный (ЛДСП)"/>
        <s v="Экспресс 2 Хит 2-х дверный (ЛДСП, Зеркало)"/>
        <s v="Экспресс 2 2-х дверный Мини"/>
        <s v="Экспресс 3-х дверный (ЛДСП, Зеркало)"/>
        <s v="Экспресс 3-х дверный (Фото№1011 Фиолетовый дым)"/>
        <s v="Экспресс 3-х дверный (Фото№1024 Париж)"/>
        <s v="Экспресс 3-х дверный (Фото№1016 Абстракция золотая пыль)"/>
        <s v="Экспресс 3-х дверный (Фото№1020 Пионы)"/>
        <s v="Экспресс 3-х дверный (Фото№1003 Листья золото)"/>
        <s v="Экспресс 3-х дверный (Фото№1010 Абстракция бело-голубая)"/>
        <s v="Экспресс 3-х дверный (Фото№1006 Абстракция оранжево-голубая)"/>
        <s v="Экспресс 3-х дверный (Зеркало, ЛДСП)"/>
        <s v="Экспресс 2-х дверный (Зеркало)"/>
        <s v="Экспресс 2-х дверный (Фото№1001 Абстракция серая)"/>
        <s v="Хит (ЛДСП)" u="1"/>
        <s v="Венге 2200х1200х600 Стандарт Хит" u="1"/>
        <s v="Хит (ЛДСП, Зеркало)" u="1"/>
        <s v="Хит (Зеркало)" u="1"/>
        <s v="Хит Комби (ЛДСП, Зеркало)" u="1"/>
        <s v="Хит (Фото)" u="1"/>
      </sharedItems>
    </cacheField>
    <cacheField name="Признак_ВИ_Шкафа" numFmtId="0">
      <sharedItems count="2">
        <s v="Новый вариант"/>
        <s v="Основной вариант"/>
      </sharedItems>
    </cacheField>
    <cacheField name="Компановка корпуса" numFmtId="0">
      <sharedItems count="11">
        <s v="Экспресс 60 2х"/>
        <s v="Экспресс 45 2х"/>
        <s v="Экспресс 60 3х"/>
        <s v="Экспресс 45 3х"/>
        <s v="Экспресс 45 глубина 2х"/>
        <s v="Стандарт Экспресс"/>
        <s v="Экспресс 45 глубина 3х"/>
        <s v="Стандарт Экспресс 3х"/>
        <s v="Экспресс Мини"/>
        <s v="Экспресс Мини с доп. полками"/>
        <s v="Хит 2х"/>
      </sharedItems>
    </cacheField>
    <cacheField name="Атрибут" numFmtId="0">
      <sharedItems count="1">
        <s v="Sum-База_ОПТ"/>
      </sharedItems>
    </cacheField>
    <cacheField name="Значение" numFmtId="0">
      <sharedItems containsSemiMixedTypes="0" containsString="0" containsNumber="1" containsInteger="1" minValue="8520" maxValue="460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579.749545833336" createdVersion="7" refreshedVersion="7" minRefreshableVersion="3" recordCount="118" xr:uid="{EFF92EB0-5532-4414-870B-03848170FF9C}">
  <cacheSource type="external" connectionId="6"/>
  <cacheFields count="8">
    <cacheField name="Вариант_исполнения" numFmtId="0">
      <sharedItems count="3">
        <s v="Белый снег"/>
        <s v="Венге"/>
        <s v="Бетон"/>
      </sharedItems>
    </cacheField>
    <cacheField name="Серия" numFmtId="0">
      <sharedItems count="5">
        <s v="Универсальные дополнения"/>
        <s v="Модуль универсальный"/>
        <s v="Оптим"/>
        <s v="Экспресс"/>
        <s v="Эста"/>
      </sharedItems>
    </cacheField>
    <cacheField name="Ширина" numFmtId="0">
      <sharedItems containsBlank="1" count="16">
        <s v="350"/>
        <s v="500"/>
        <s v="600"/>
        <s v="700"/>
        <s v="800"/>
        <s v=""/>
        <s v="300"/>
        <s v="900"/>
        <s v="1000"/>
        <m/>
        <s v="2100" u="1"/>
        <s v="1200" u="1"/>
        <s v="1400" u="1"/>
        <s v="1600" u="1"/>
        <s v="1800" u="1"/>
        <s v="2400" u="1"/>
      </sharedItems>
    </cacheField>
    <cacheField name="Глубина" numFmtId="0">
      <sharedItems containsBlank="1" count="7">
        <s v="440"/>
        <s v="505"/>
        <s v="600"/>
        <s v=""/>
        <s v="580"/>
        <s v="660"/>
        <m/>
      </sharedItems>
    </cacheField>
    <cacheField name="Высота" numFmtId="0">
      <sharedItems containsBlank="1" count="7">
        <s v="2400"/>
        <s v="2300"/>
        <s v="2200"/>
        <s v="388"/>
        <s v=""/>
        <m/>
        <s v="1900" u="1"/>
      </sharedItems>
    </cacheField>
    <cacheField name="Комплектующая" numFmtId="0">
      <sharedItems count="6">
        <s v="Угловой терминал"/>
        <s v="Модуль"/>
        <s v="Доп. Полки"/>
        <s v="Дверь-купе Комби" u="1"/>
        <s v="Дверь-купе ДСП" u="1"/>
        <s v="Корпус" u="1"/>
      </sharedItems>
    </cacheField>
    <cacheField name="Атрибут" numFmtId="0">
      <sharedItems count="1">
        <s v="База_ОПТ"/>
      </sharedItems>
    </cacheField>
    <cacheField name="Значение" numFmtId="0">
      <sharedItems containsSemiMixedTypes="0" containsString="0" containsNumber="1" containsInteger="1" minValue="1450" maxValue="6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579.749549305554" backgroundQuery="1" createdVersion="7" refreshedVersion="7" minRefreshableVersion="3" recordCount="20" xr:uid="{AE75D470-B1BC-473C-824E-307CE41C20FB}">
  <cacheSource type="external" connectionId="2"/>
  <cacheFields count="12">
    <cacheField name="Код_Номенклатуры" numFmtId="0">
      <sharedItems containsSemiMixedTypes="0" containsString="0" containsNumber="1" containsInteger="1" minValue="39007" maxValue="39046" count="10">
        <n v="39043"/>
        <n v="39044"/>
        <n v="39045"/>
        <n v="39007"/>
        <n v="39008"/>
        <n v="39009"/>
        <n v="39010"/>
        <n v="39046"/>
        <n v="39011"/>
        <n v="39042"/>
      </sharedItems>
    </cacheField>
    <cacheField name="Код_ВИ" numFmtId="0">
      <sharedItems containsSemiMixedTypes="0" containsString="0" containsNumber="1" containsInteger="1" minValue="1" maxValue="2" count="2">
        <n v="1"/>
        <n v="2"/>
      </sharedItems>
    </cacheField>
    <cacheField name="Номенклатура" numFmtId="0">
      <sharedItems count="10">
        <s v="Угловой терминал &quot;Универсальный&quot; 350х440х2400_Белое стекло"/>
        <s v="Угловой терминал &quot;Универсальный&quot; 350х505х2300_Белое стекло"/>
        <s v="Угловой терминал &quot;Универсальный&quot; 350х600х2200_Белое стекло"/>
        <s v="Угловой терминал &quot;Универсальный&quot; 350х600х2200"/>
        <s v="Угловой терминал &quot;Универсальный&quot; 350х600х2400"/>
        <s v="Угловой терминал &quot;Универсальный&quot; 350х440х2200"/>
        <s v="Угловой терминал &quot;Универсальный&quot; 350х440х2400"/>
        <s v="Угловой терминал &quot;Универсальный&quot; 350х600х2400_Белое стекло"/>
        <s v="Угловой терминал &quot;Универсальный&quot; 350х505х2300"/>
        <s v="Угловой терминал &quot;Универсальный&quot; 350х440х2200_Белое стекло"/>
      </sharedItems>
    </cacheField>
    <cacheField name="Вариант_исполнения" numFmtId="0">
      <sharedItems count="2">
        <s v="Белый снег"/>
        <s v="Бетон"/>
      </sharedItems>
    </cacheField>
    <cacheField name="Серия" numFmtId="0">
      <sharedItems count="1">
        <s v="Универсальные дополнения"/>
      </sharedItems>
    </cacheField>
    <cacheField name="Ширина" numFmtId="0">
      <sharedItems count="1">
        <s v="350"/>
      </sharedItems>
    </cacheField>
    <cacheField name="Глубина" numFmtId="0">
      <sharedItems count="3">
        <s v="440"/>
        <s v="505"/>
        <s v="600"/>
      </sharedItems>
    </cacheField>
    <cacheField name="Высота" numFmtId="0">
      <sharedItems count="3">
        <s v="2400"/>
        <s v="2300"/>
        <s v="2200"/>
      </sharedItems>
    </cacheField>
    <cacheField name="Комплектующая" numFmtId="0">
      <sharedItems count="1">
        <s v="Угловой терминал"/>
      </sharedItems>
    </cacheField>
    <cacheField name="Атрибут" numFmtId="0">
      <sharedItems count="1">
        <s v="База_ОПТ"/>
      </sharedItems>
    </cacheField>
    <cacheField name="Значение" numFmtId="0">
      <sharedItems containsSemiMixedTypes="0" containsString="0" containsNumber="1" containsInteger="1" minValue="4040" maxValue="6200" count="20">
        <n v="5130"/>
        <n v="5630"/>
        <n v="5600"/>
        <n v="6160"/>
        <n v="5360"/>
        <n v="4540"/>
        <n v="5090"/>
        <n v="4650"/>
        <n v="5210"/>
        <n v="4040"/>
        <n v="4530"/>
        <n v="4140"/>
        <n v="4640"/>
        <n v="5910"/>
        <n v="5640"/>
        <n v="6200"/>
        <n v="4620"/>
        <n v="5170"/>
        <n v="4860"/>
        <n v="5350"/>
      </sharedItems>
    </cacheField>
    <cacheField name="Признак вставки" numFmtId="0">
      <sharedItems count="2">
        <s v="с вставкой"/>
        <s v="без вставки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579.74955" backgroundQuery="1" createdVersion="7" refreshedVersion="7" minRefreshableVersion="3" recordCount="42" xr:uid="{48DC7F13-3295-46B1-854C-212CF98C853F}">
  <cacheSource type="external" connectionId="1"/>
  <cacheFields count="15">
    <cacheField name="Код" numFmtId="0">
      <sharedItems containsSemiMixedTypes="0" containsString="0" containsNumber="1" containsInteger="1" minValue="8094" maxValue="10531"/>
    </cacheField>
    <cacheField name="Код_Номенклатуры" numFmtId="0">
      <sharedItems containsSemiMixedTypes="0" containsString="0" containsNumber="1" containsInteger="1" minValue="34457" maxValue="41821" count="21">
        <n v="40252"/>
        <n v="41821"/>
        <n v="40281"/>
        <n v="40216"/>
        <n v="37135"/>
        <n v="34459"/>
        <n v="34469"/>
        <n v="34457"/>
        <n v="34470"/>
        <n v="35108"/>
        <n v="35114"/>
        <n v="36630"/>
        <n v="36632"/>
        <n v="35107"/>
        <n v="34466"/>
        <n v="39590"/>
        <n v="40212"/>
        <n v="40017"/>
        <n v="39828"/>
        <n v="37134"/>
        <n v="39540"/>
      </sharedItems>
    </cacheField>
    <cacheField name="Код_ВИ" numFmtId="0">
      <sharedItems containsSemiMixedTypes="0" containsString="0" containsNumber="1" containsInteger="1" minValue="1" maxValue="5" count="5">
        <n v="3"/>
        <n v="1"/>
        <n v="4"/>
        <n v="5"/>
        <n v="2"/>
      </sharedItems>
    </cacheField>
    <cacheField name="Номенклатура" numFmtId="0">
      <sharedItems count="30">
        <s v="Прямая гардеробная система &quot;Локер&quot; (2200х1800х507)"/>
        <s v="Комплект дверей шкафа складного &quot;Локер&quot; - ДСП/2200х1214  (ШК 1200)"/>
        <s v="Угловая гардеробная система &quot;Локер&quot; (2200х1955х1945)"/>
        <s v="Комплект дверей шкафа распашного &quot;Локер&quot; - ДСП (ШК 1214)"/>
        <s v="Комплект дверей шкафа складного &quot;Локер&quot; - ДСП/2200х608 (ШК 600)"/>
        <s v="Комплект доп. полок &quot;Локер&quot;- (ШК 600)"/>
        <s v="Комплект доп. полок &quot;Локер&quot;- (ШК 1000)"/>
        <s v="Комплект дверей шкафа распашного &quot;Локер&quot; - ДСП/2200х608 (ШК 600)"/>
        <s v="Комплект дверей шкафа распашного &quot;Локер&quot; - ДСП/2200х1008 (ШК 1000)"/>
        <s v="Корпус шкафа &quot;Локер&quot; (2200х608х507)"/>
        <s v="Корпус шкафа &quot;Локер&quot; (2200х1008х507)"/>
        <s v="Комплект дверей шкафа распашного &quot;Локер&quot; - ДСП/2200х808 (ШК 800)"/>
        <s v="Комплект дверей шкафа складного &quot;Локер&quot; - ДСП/2200х808 (ШК 800)"/>
        <s v="Корпус шкафа &quot;Локер&quot; (2200х808х507)"/>
        <s v="Комплект доп. полок &quot;Локер&quot;- (ШК 800)"/>
        <s v="Корпус стеллажа &quot;Локер&quot; (2200х424х507)"/>
        <s v="Корпус шкафа &quot;Локер&quot; (2200х1214х507)"/>
        <s v="Корпус стеллажа &quot;Локер&quot; (2200х300х507)"/>
        <s v="Дверь шкафа распашного &quot;Локер&quot; - ДСП/2200х608 (ШК 600)"/>
        <s v="Комплект дверей шкафа складного &quot;Локер&quot; - ДСП/2200х1008 (ШК 1000)"/>
        <s v="Корпус стеллажа &quot;Локер&quot; углового (2200х952х952)"/>
        <s v="Корпус стеллажа &quot;Локер&quot; 300" u="1"/>
        <s v="Прямая гардеробная система &quot;Локер&quot; (2200х1800х510)" u="1"/>
        <s v="Корпус шкафа &quot;Локер&quot; (2200х600х525)" u="1"/>
        <s v="Корпус стеллажа &quot;Локер&quot; углового (2200х955х955)" u="1"/>
        <s v="Комплект дверей шкафа распашного &quot;Локер&quot; - ДСП (ШК 1200)" u="1"/>
        <s v="Корпус шкафа &quot;Локер&quot; (2200х1000х525)" u="1"/>
        <s v="Корпус стеллажа &quot;Локер&quot; (2200х400х507)" u="1"/>
        <s v="Корпус шкафа &quot;Локер&quot; (2200х1200х525)" u="1"/>
        <s v="Корпус шкафа &quot;Локер&quot; (2200х800х525)" u="1"/>
      </sharedItems>
    </cacheField>
    <cacheField name="Вариант_исполнения" numFmtId="0">
      <sharedItems count="2">
        <s v="Дуб табачный"/>
        <s v="Белый снег"/>
      </sharedItems>
    </cacheField>
    <cacheField name="Серия" numFmtId="0">
      <sharedItems count="1">
        <s v="Локер"/>
      </sharedItems>
    </cacheField>
    <cacheField name="Ширина" numFmtId="0">
      <sharedItems count="9">
        <s v="1800"/>
        <s v="1200"/>
        <s v="1955"/>
        <s v="600"/>
        <s v="1000"/>
        <s v="800"/>
        <s v="400"/>
        <s v="300"/>
        <s v="955"/>
      </sharedItems>
    </cacheField>
    <cacheField name="Глубина" numFmtId="0">
      <sharedItems containsBlank="1" count="7">
        <m/>
        <s v="1945"/>
        <s v="530"/>
        <s v="512"/>
        <s v="525"/>
        <s v="507"/>
        <s v="955"/>
      </sharedItems>
    </cacheField>
    <cacheField name="Высота" numFmtId="0">
      <sharedItems containsBlank="1" count="2">
        <s v="2200"/>
        <m/>
      </sharedItems>
    </cacheField>
    <cacheField name="Цвет_профиля" numFmtId="0">
      <sharedItems count="2">
        <s v="Серебро профиль"/>
        <s v="Отсутствует"/>
      </sharedItems>
    </cacheField>
    <cacheField name="Комплектующая" numFmtId="0">
      <sharedItems count="4">
        <s v="Гардероб"/>
        <s v="Дверь-купе ДСП"/>
        <s v="Доп. Полки"/>
        <s v="Корпус"/>
      </sharedItems>
    </cacheField>
    <cacheField name="Признак_Конструктива" numFmtId="0">
      <sharedItems containsBlank="1" count="3">
        <m/>
        <s v="Складной"/>
        <s v="Распашной"/>
      </sharedItems>
    </cacheField>
    <cacheField name="КоэффициентОпта" numFmtId="0">
      <sharedItems containsSemiMixedTypes="0" containsString="0" containsNumber="1" minValue="1.4" maxValue="1.4" count="1">
        <n v="1.4"/>
      </sharedItems>
    </cacheField>
    <cacheField name="Атрибут" numFmtId="0">
      <sharedItems count="1">
        <s v="База_ОПТ"/>
      </sharedItems>
    </cacheField>
    <cacheField name="Значение" numFmtId="0">
      <sharedItems containsSemiMixedTypes="0" containsString="0" containsNumber="1" containsInteger="1" minValue="1200" maxValue="328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96">
  <r>
    <m/>
    <x v="0"/>
    <x v="0"/>
    <x v="0"/>
    <x v="0"/>
    <x v="0"/>
    <x v="0"/>
    <x v="0"/>
    <x v="0"/>
    <x v="0"/>
    <x v="0"/>
    <n v="37540"/>
  </r>
  <r>
    <m/>
    <x v="1"/>
    <x v="1"/>
    <x v="0"/>
    <x v="1"/>
    <x v="1"/>
    <x v="1"/>
    <x v="1"/>
    <x v="0"/>
    <x v="1"/>
    <x v="0"/>
    <n v="18420"/>
  </r>
  <r>
    <m/>
    <x v="1"/>
    <x v="1"/>
    <x v="0"/>
    <x v="2"/>
    <x v="2"/>
    <x v="2"/>
    <x v="2"/>
    <x v="0"/>
    <x v="2"/>
    <x v="0"/>
    <n v="21470"/>
  </r>
  <r>
    <m/>
    <x v="1"/>
    <x v="1"/>
    <x v="1"/>
    <x v="3"/>
    <x v="3"/>
    <x v="3"/>
    <x v="3"/>
    <x v="1"/>
    <x v="1"/>
    <x v="0"/>
    <n v="26390"/>
  </r>
  <r>
    <m/>
    <x v="1"/>
    <x v="0"/>
    <x v="0"/>
    <x v="3"/>
    <x v="2"/>
    <x v="4"/>
    <x v="4"/>
    <x v="0"/>
    <x v="3"/>
    <x v="0"/>
    <n v="32560"/>
  </r>
  <r>
    <m/>
    <x v="1"/>
    <x v="0"/>
    <x v="1"/>
    <x v="0"/>
    <x v="1"/>
    <x v="1"/>
    <x v="5"/>
    <x v="1"/>
    <x v="4"/>
    <x v="0"/>
    <n v="29040"/>
  </r>
  <r>
    <m/>
    <x v="1"/>
    <x v="0"/>
    <x v="1"/>
    <x v="2"/>
    <x v="2"/>
    <x v="5"/>
    <x v="6"/>
    <x v="1"/>
    <x v="3"/>
    <x v="0"/>
    <n v="30900"/>
  </r>
  <r>
    <s v="CSKU00214_2EK"/>
    <x v="1"/>
    <x v="1"/>
    <x v="0"/>
    <x v="4"/>
    <x v="1"/>
    <x v="6"/>
    <x v="7"/>
    <x v="0"/>
    <x v="5"/>
    <x v="0"/>
    <n v="21330"/>
  </r>
  <r>
    <s v="CSKU00745_2EK"/>
    <x v="1"/>
    <x v="1"/>
    <x v="0"/>
    <x v="1"/>
    <x v="4"/>
    <x v="1"/>
    <x v="8"/>
    <x v="0"/>
    <x v="6"/>
    <x v="0"/>
    <n v="21880"/>
  </r>
  <r>
    <s v="CSKU01111_2EK"/>
    <x v="1"/>
    <x v="1"/>
    <x v="0"/>
    <x v="5"/>
    <x v="1"/>
    <x v="1"/>
    <x v="9"/>
    <x v="0"/>
    <x v="6"/>
    <x v="0"/>
    <n v="27270"/>
  </r>
  <r>
    <s v="CSKU01742_2EK"/>
    <x v="1"/>
    <x v="1"/>
    <x v="0"/>
    <x v="4"/>
    <x v="4"/>
    <x v="6"/>
    <x v="10"/>
    <x v="0"/>
    <x v="5"/>
    <x v="0"/>
    <n v="25020"/>
  </r>
  <r>
    <s v="CSKU02385_3EK"/>
    <x v="1"/>
    <x v="0"/>
    <x v="1"/>
    <x v="2"/>
    <x v="4"/>
    <x v="6"/>
    <x v="11"/>
    <x v="1"/>
    <x v="7"/>
    <x v="0"/>
    <n v="31060"/>
  </r>
  <r>
    <s v="CSKU02733_3EK"/>
    <x v="1"/>
    <x v="0"/>
    <x v="0"/>
    <x v="2"/>
    <x v="1"/>
    <x v="6"/>
    <x v="12"/>
    <x v="0"/>
    <x v="7"/>
    <x v="0"/>
    <n v="39890"/>
  </r>
  <r>
    <s v="CSKU03096_3EK"/>
    <x v="1"/>
    <x v="0"/>
    <x v="1"/>
    <x v="0"/>
    <x v="4"/>
    <x v="1"/>
    <x v="13"/>
    <x v="1"/>
    <x v="8"/>
    <x v="0"/>
    <n v="32250"/>
  </r>
  <r>
    <s v="CSKU04090_3EK"/>
    <x v="1"/>
    <x v="0"/>
    <x v="1"/>
    <x v="6"/>
    <x v="4"/>
    <x v="1"/>
    <x v="14"/>
    <x v="1"/>
    <x v="8"/>
    <x v="0"/>
    <n v="37160"/>
  </r>
  <r>
    <s v="CSKU04363_3EK"/>
    <x v="1"/>
    <x v="0"/>
    <x v="1"/>
    <x v="2"/>
    <x v="4"/>
    <x v="6"/>
    <x v="15"/>
    <x v="1"/>
    <x v="7"/>
    <x v="0"/>
    <n v="38870"/>
  </r>
  <r>
    <s v="CSKU04615_3EK"/>
    <x v="1"/>
    <x v="0"/>
    <x v="0"/>
    <x v="0"/>
    <x v="1"/>
    <x v="6"/>
    <x v="16"/>
    <x v="0"/>
    <x v="7"/>
    <x v="0"/>
    <n v="29550"/>
  </r>
  <r>
    <s v="CSKU04364_3EK"/>
    <x v="1"/>
    <x v="0"/>
    <x v="1"/>
    <x v="2"/>
    <x v="4"/>
    <x v="1"/>
    <x v="15"/>
    <x v="1"/>
    <x v="8"/>
    <x v="0"/>
    <n v="42250"/>
  </r>
  <r>
    <s v="CSKU04365_3EK"/>
    <x v="1"/>
    <x v="0"/>
    <x v="1"/>
    <x v="2"/>
    <x v="1"/>
    <x v="6"/>
    <x v="15"/>
    <x v="1"/>
    <x v="7"/>
    <x v="0"/>
    <n v="41400"/>
  </r>
  <r>
    <s v="CSKU04366_3EK"/>
    <x v="1"/>
    <x v="0"/>
    <x v="1"/>
    <x v="2"/>
    <x v="1"/>
    <x v="1"/>
    <x v="15"/>
    <x v="1"/>
    <x v="8"/>
    <x v="0"/>
    <n v="46040"/>
  </r>
  <r>
    <s v="CSKU04091_3EK"/>
    <x v="1"/>
    <x v="0"/>
    <x v="1"/>
    <x v="6"/>
    <x v="1"/>
    <x v="6"/>
    <x v="14"/>
    <x v="1"/>
    <x v="7"/>
    <x v="0"/>
    <n v="36160"/>
  </r>
  <r>
    <s v="CSKU04092_3EK"/>
    <x v="1"/>
    <x v="0"/>
    <x v="1"/>
    <x v="6"/>
    <x v="1"/>
    <x v="1"/>
    <x v="14"/>
    <x v="1"/>
    <x v="8"/>
    <x v="0"/>
    <n v="40630"/>
  </r>
  <r>
    <s v="CSKU04093_3EK"/>
    <x v="1"/>
    <x v="0"/>
    <x v="1"/>
    <x v="2"/>
    <x v="4"/>
    <x v="6"/>
    <x v="14"/>
    <x v="1"/>
    <x v="7"/>
    <x v="0"/>
    <n v="38870"/>
  </r>
  <r>
    <s v="CSKU04094_3EK"/>
    <x v="1"/>
    <x v="0"/>
    <x v="1"/>
    <x v="2"/>
    <x v="4"/>
    <x v="1"/>
    <x v="14"/>
    <x v="1"/>
    <x v="8"/>
    <x v="0"/>
    <n v="42250"/>
  </r>
  <r>
    <s v="CSKU04095_3EK"/>
    <x v="1"/>
    <x v="0"/>
    <x v="1"/>
    <x v="2"/>
    <x v="1"/>
    <x v="6"/>
    <x v="14"/>
    <x v="1"/>
    <x v="7"/>
    <x v="0"/>
    <n v="41400"/>
  </r>
  <r>
    <s v="CSKU04096_3EK"/>
    <x v="1"/>
    <x v="0"/>
    <x v="1"/>
    <x v="2"/>
    <x v="1"/>
    <x v="1"/>
    <x v="14"/>
    <x v="1"/>
    <x v="8"/>
    <x v="0"/>
    <n v="46040"/>
  </r>
  <r>
    <s v="CSKU05195_2ES"/>
    <x v="2"/>
    <x v="1"/>
    <x v="1"/>
    <x v="4"/>
    <x v="4"/>
    <x v="7"/>
    <x v="17"/>
    <x v="1"/>
    <x v="9"/>
    <x v="0"/>
    <n v="68420"/>
  </r>
  <r>
    <s v="CSKU05305_2ES"/>
    <x v="2"/>
    <x v="1"/>
    <x v="1"/>
    <x v="0"/>
    <x v="4"/>
    <x v="7"/>
    <x v="18"/>
    <x v="1"/>
    <x v="9"/>
    <x v="0"/>
    <n v="72380"/>
  </r>
  <r>
    <s v="CSKU04529_3EK"/>
    <x v="1"/>
    <x v="0"/>
    <x v="0"/>
    <x v="6"/>
    <x v="1"/>
    <x v="6"/>
    <x v="19"/>
    <x v="0"/>
    <x v="7"/>
    <x v="0"/>
    <n v="34740"/>
  </r>
  <r>
    <s v="CSKU04530_3EK"/>
    <x v="1"/>
    <x v="0"/>
    <x v="0"/>
    <x v="6"/>
    <x v="1"/>
    <x v="1"/>
    <x v="19"/>
    <x v="0"/>
    <x v="8"/>
    <x v="0"/>
    <n v="38730"/>
  </r>
  <r>
    <s v="CSKU05405_2ES"/>
    <x v="2"/>
    <x v="1"/>
    <x v="0"/>
    <x v="4"/>
    <x v="4"/>
    <x v="7"/>
    <x v="20"/>
    <x v="0"/>
    <x v="9"/>
    <x v="0"/>
    <n v="64800"/>
  </r>
  <r>
    <s v="CSKU05406_2ES"/>
    <x v="2"/>
    <x v="1"/>
    <x v="0"/>
    <x v="0"/>
    <x v="4"/>
    <x v="7"/>
    <x v="20"/>
    <x v="0"/>
    <x v="9"/>
    <x v="0"/>
    <n v="68330"/>
  </r>
  <r>
    <s v="CSKU04616_3EK"/>
    <x v="1"/>
    <x v="0"/>
    <x v="0"/>
    <x v="0"/>
    <x v="1"/>
    <x v="1"/>
    <x v="16"/>
    <x v="0"/>
    <x v="8"/>
    <x v="0"/>
    <n v="33320"/>
  </r>
  <r>
    <s v="CSKU04617_3EK"/>
    <x v="1"/>
    <x v="0"/>
    <x v="0"/>
    <x v="6"/>
    <x v="4"/>
    <x v="6"/>
    <x v="16"/>
    <x v="0"/>
    <x v="7"/>
    <x v="0"/>
    <n v="32560"/>
  </r>
  <r>
    <s v="CSKU04618_3EK"/>
    <x v="1"/>
    <x v="0"/>
    <x v="0"/>
    <x v="6"/>
    <x v="4"/>
    <x v="1"/>
    <x v="16"/>
    <x v="0"/>
    <x v="8"/>
    <x v="0"/>
    <n v="35430"/>
  </r>
  <r>
    <s v="CSKU04619_3EK"/>
    <x v="1"/>
    <x v="0"/>
    <x v="0"/>
    <x v="6"/>
    <x v="1"/>
    <x v="6"/>
    <x v="16"/>
    <x v="0"/>
    <x v="7"/>
    <x v="0"/>
    <n v="34740"/>
  </r>
  <r>
    <s v="CSKU04620_3EK"/>
    <x v="1"/>
    <x v="0"/>
    <x v="0"/>
    <x v="6"/>
    <x v="1"/>
    <x v="1"/>
    <x v="16"/>
    <x v="0"/>
    <x v="8"/>
    <x v="0"/>
    <n v="38730"/>
  </r>
  <r>
    <s v="CSKU04621_3EK"/>
    <x v="1"/>
    <x v="0"/>
    <x v="0"/>
    <x v="2"/>
    <x v="4"/>
    <x v="6"/>
    <x v="16"/>
    <x v="0"/>
    <x v="7"/>
    <x v="0"/>
    <n v="37390"/>
  </r>
  <r>
    <s v="CSKU04622_3EK"/>
    <x v="1"/>
    <x v="0"/>
    <x v="0"/>
    <x v="2"/>
    <x v="4"/>
    <x v="1"/>
    <x v="16"/>
    <x v="0"/>
    <x v="8"/>
    <x v="0"/>
    <n v="40400"/>
  </r>
  <r>
    <s v="CSKU04623_3EK"/>
    <x v="1"/>
    <x v="0"/>
    <x v="0"/>
    <x v="2"/>
    <x v="1"/>
    <x v="6"/>
    <x v="16"/>
    <x v="0"/>
    <x v="7"/>
    <x v="0"/>
    <n v="39890"/>
  </r>
  <r>
    <s v="CSKU04624_3EK"/>
    <x v="1"/>
    <x v="0"/>
    <x v="0"/>
    <x v="2"/>
    <x v="1"/>
    <x v="1"/>
    <x v="16"/>
    <x v="0"/>
    <x v="8"/>
    <x v="0"/>
    <n v="44020"/>
  </r>
  <r>
    <s v="CSKU04625_3EK"/>
    <x v="1"/>
    <x v="0"/>
    <x v="1"/>
    <x v="0"/>
    <x v="4"/>
    <x v="6"/>
    <x v="16"/>
    <x v="1"/>
    <x v="7"/>
    <x v="0"/>
    <n v="29050"/>
  </r>
  <r>
    <s v="CSKU04634_3EK"/>
    <x v="1"/>
    <x v="0"/>
    <x v="1"/>
    <x v="2"/>
    <x v="4"/>
    <x v="1"/>
    <x v="16"/>
    <x v="1"/>
    <x v="8"/>
    <x v="0"/>
    <n v="42250"/>
  </r>
  <r>
    <s v="CSKU04635_3EK"/>
    <x v="1"/>
    <x v="0"/>
    <x v="1"/>
    <x v="2"/>
    <x v="1"/>
    <x v="6"/>
    <x v="16"/>
    <x v="1"/>
    <x v="7"/>
    <x v="0"/>
    <n v="41400"/>
  </r>
  <r>
    <s v="CSKU05407_2ES"/>
    <x v="2"/>
    <x v="1"/>
    <x v="0"/>
    <x v="7"/>
    <x v="4"/>
    <x v="7"/>
    <x v="20"/>
    <x v="0"/>
    <x v="9"/>
    <x v="0"/>
    <n v="71900"/>
  </r>
  <r>
    <s v="CSKU05408_2ES"/>
    <x v="2"/>
    <x v="1"/>
    <x v="0"/>
    <x v="4"/>
    <x v="1"/>
    <x v="7"/>
    <x v="20"/>
    <x v="0"/>
    <x v="9"/>
    <x v="0"/>
    <n v="76040"/>
  </r>
  <r>
    <s v="CSKU05306_2ES"/>
    <x v="2"/>
    <x v="1"/>
    <x v="1"/>
    <x v="0"/>
    <x v="1"/>
    <x v="7"/>
    <x v="18"/>
    <x v="1"/>
    <x v="9"/>
    <x v="0"/>
    <n v="84460"/>
  </r>
  <r>
    <s v="CSKU05307_2ES"/>
    <x v="2"/>
    <x v="1"/>
    <x v="1"/>
    <x v="7"/>
    <x v="4"/>
    <x v="7"/>
    <x v="18"/>
    <x v="1"/>
    <x v="9"/>
    <x v="0"/>
    <n v="76360"/>
  </r>
  <r>
    <s v="CSKU05308_2ES"/>
    <x v="2"/>
    <x v="1"/>
    <x v="1"/>
    <x v="7"/>
    <x v="1"/>
    <x v="7"/>
    <x v="18"/>
    <x v="1"/>
    <x v="9"/>
    <x v="0"/>
    <n v="88440"/>
  </r>
  <r>
    <s v="CSKU04865_2ES"/>
    <x v="2"/>
    <x v="1"/>
    <x v="0"/>
    <x v="4"/>
    <x v="4"/>
    <x v="7"/>
    <x v="21"/>
    <x v="0"/>
    <x v="9"/>
    <x v="0"/>
    <n v="73400"/>
  </r>
  <r>
    <s v="CSKU04866_2ES"/>
    <x v="2"/>
    <x v="1"/>
    <x v="0"/>
    <x v="0"/>
    <x v="4"/>
    <x v="7"/>
    <x v="21"/>
    <x v="0"/>
    <x v="9"/>
    <x v="0"/>
    <n v="76930"/>
  </r>
  <r>
    <s v="CSKU04867_2ES"/>
    <x v="2"/>
    <x v="1"/>
    <x v="0"/>
    <x v="7"/>
    <x v="4"/>
    <x v="7"/>
    <x v="21"/>
    <x v="0"/>
    <x v="9"/>
    <x v="0"/>
    <n v="80500"/>
  </r>
  <r>
    <s v="CSKU04868_2ES"/>
    <x v="2"/>
    <x v="1"/>
    <x v="0"/>
    <x v="4"/>
    <x v="1"/>
    <x v="7"/>
    <x v="21"/>
    <x v="0"/>
    <x v="9"/>
    <x v="0"/>
    <n v="87020"/>
  </r>
  <r>
    <s v="CSKU04869_2ES"/>
    <x v="2"/>
    <x v="1"/>
    <x v="0"/>
    <x v="0"/>
    <x v="1"/>
    <x v="7"/>
    <x v="21"/>
    <x v="0"/>
    <x v="9"/>
    <x v="0"/>
    <n v="90550"/>
  </r>
  <r>
    <s v="CSKU04872_2ES"/>
    <x v="2"/>
    <x v="1"/>
    <x v="1"/>
    <x v="0"/>
    <x v="4"/>
    <x v="7"/>
    <x v="21"/>
    <x v="1"/>
    <x v="9"/>
    <x v="0"/>
    <n v="80980"/>
  </r>
  <r>
    <s v="CSKU04873_2ES"/>
    <x v="2"/>
    <x v="1"/>
    <x v="1"/>
    <x v="7"/>
    <x v="4"/>
    <x v="7"/>
    <x v="21"/>
    <x v="1"/>
    <x v="9"/>
    <x v="0"/>
    <n v="84960"/>
  </r>
  <r>
    <s v="CSKU05196_2ES"/>
    <x v="2"/>
    <x v="1"/>
    <x v="1"/>
    <x v="4"/>
    <x v="1"/>
    <x v="7"/>
    <x v="17"/>
    <x v="1"/>
    <x v="9"/>
    <x v="0"/>
    <n v="80500"/>
  </r>
  <r>
    <s v="CSKU05197_2ES"/>
    <x v="2"/>
    <x v="1"/>
    <x v="1"/>
    <x v="0"/>
    <x v="4"/>
    <x v="7"/>
    <x v="17"/>
    <x v="1"/>
    <x v="9"/>
    <x v="0"/>
    <n v="72380"/>
  </r>
  <r>
    <s v="CSKU05198_2ES"/>
    <x v="2"/>
    <x v="1"/>
    <x v="1"/>
    <x v="0"/>
    <x v="1"/>
    <x v="7"/>
    <x v="17"/>
    <x v="1"/>
    <x v="9"/>
    <x v="0"/>
    <n v="84460"/>
  </r>
  <r>
    <s v="CSKU05199_2ES"/>
    <x v="2"/>
    <x v="1"/>
    <x v="1"/>
    <x v="7"/>
    <x v="4"/>
    <x v="7"/>
    <x v="17"/>
    <x v="1"/>
    <x v="9"/>
    <x v="0"/>
    <n v="76360"/>
  </r>
  <r>
    <s v="CSKU05200_2ES"/>
    <x v="2"/>
    <x v="1"/>
    <x v="1"/>
    <x v="7"/>
    <x v="1"/>
    <x v="7"/>
    <x v="17"/>
    <x v="1"/>
    <x v="9"/>
    <x v="0"/>
    <n v="88440"/>
  </r>
  <r>
    <s v="CSKU04626_3EK"/>
    <x v="1"/>
    <x v="0"/>
    <x v="1"/>
    <x v="0"/>
    <x v="4"/>
    <x v="1"/>
    <x v="16"/>
    <x v="1"/>
    <x v="8"/>
    <x v="0"/>
    <n v="32250"/>
  </r>
  <r>
    <s v="CSKU04870_2ES"/>
    <x v="2"/>
    <x v="1"/>
    <x v="0"/>
    <x v="7"/>
    <x v="1"/>
    <x v="7"/>
    <x v="21"/>
    <x v="0"/>
    <x v="9"/>
    <x v="0"/>
    <n v="94100"/>
  </r>
  <r>
    <s v="CSKU04871_2ES"/>
    <x v="2"/>
    <x v="1"/>
    <x v="1"/>
    <x v="4"/>
    <x v="4"/>
    <x v="7"/>
    <x v="21"/>
    <x v="1"/>
    <x v="9"/>
    <x v="0"/>
    <n v="77020"/>
  </r>
  <r>
    <s v="CSKU03713_3EK"/>
    <x v="1"/>
    <x v="0"/>
    <x v="0"/>
    <x v="0"/>
    <x v="4"/>
    <x v="6"/>
    <x v="22"/>
    <x v="0"/>
    <x v="7"/>
    <x v="0"/>
    <n v="27730"/>
  </r>
  <r>
    <s v="CSKU03714_3EK"/>
    <x v="1"/>
    <x v="0"/>
    <x v="0"/>
    <x v="0"/>
    <x v="4"/>
    <x v="1"/>
    <x v="22"/>
    <x v="0"/>
    <x v="8"/>
    <x v="0"/>
    <n v="30600"/>
  </r>
  <r>
    <s v="CSKU03715_3EK"/>
    <x v="1"/>
    <x v="0"/>
    <x v="0"/>
    <x v="0"/>
    <x v="1"/>
    <x v="6"/>
    <x v="22"/>
    <x v="0"/>
    <x v="7"/>
    <x v="0"/>
    <n v="29550"/>
  </r>
  <r>
    <s v="CSKU03716_3EK"/>
    <x v="1"/>
    <x v="0"/>
    <x v="0"/>
    <x v="0"/>
    <x v="1"/>
    <x v="1"/>
    <x v="22"/>
    <x v="0"/>
    <x v="8"/>
    <x v="0"/>
    <n v="33320"/>
  </r>
  <r>
    <s v="CSKU03717_3EK"/>
    <x v="1"/>
    <x v="0"/>
    <x v="0"/>
    <x v="6"/>
    <x v="4"/>
    <x v="6"/>
    <x v="22"/>
    <x v="0"/>
    <x v="7"/>
    <x v="0"/>
    <n v="32560"/>
  </r>
  <r>
    <s v="CSKU03718_3EK"/>
    <x v="1"/>
    <x v="0"/>
    <x v="0"/>
    <x v="6"/>
    <x v="4"/>
    <x v="1"/>
    <x v="22"/>
    <x v="0"/>
    <x v="8"/>
    <x v="0"/>
    <n v="35430"/>
  </r>
  <r>
    <s v="CSKU03719_3EK"/>
    <x v="1"/>
    <x v="0"/>
    <x v="0"/>
    <x v="6"/>
    <x v="1"/>
    <x v="6"/>
    <x v="22"/>
    <x v="0"/>
    <x v="7"/>
    <x v="0"/>
    <n v="34740"/>
  </r>
  <r>
    <s v="CSKU03720_3EK"/>
    <x v="1"/>
    <x v="0"/>
    <x v="0"/>
    <x v="6"/>
    <x v="1"/>
    <x v="1"/>
    <x v="22"/>
    <x v="0"/>
    <x v="8"/>
    <x v="0"/>
    <n v="38730"/>
  </r>
  <r>
    <s v="CSKU03987_3EK"/>
    <x v="1"/>
    <x v="0"/>
    <x v="0"/>
    <x v="6"/>
    <x v="4"/>
    <x v="6"/>
    <x v="23"/>
    <x v="0"/>
    <x v="7"/>
    <x v="0"/>
    <n v="32560"/>
  </r>
  <r>
    <s v="CSKU03988_3EK"/>
    <x v="1"/>
    <x v="0"/>
    <x v="0"/>
    <x v="6"/>
    <x v="4"/>
    <x v="1"/>
    <x v="23"/>
    <x v="0"/>
    <x v="8"/>
    <x v="0"/>
    <n v="35430"/>
  </r>
  <r>
    <s v="CSKU04627_3EK"/>
    <x v="1"/>
    <x v="0"/>
    <x v="1"/>
    <x v="0"/>
    <x v="1"/>
    <x v="6"/>
    <x v="16"/>
    <x v="1"/>
    <x v="7"/>
    <x v="0"/>
    <n v="30900"/>
  </r>
  <r>
    <s v="CSKU04628_3EK"/>
    <x v="1"/>
    <x v="0"/>
    <x v="1"/>
    <x v="0"/>
    <x v="1"/>
    <x v="1"/>
    <x v="16"/>
    <x v="1"/>
    <x v="8"/>
    <x v="0"/>
    <n v="35110"/>
  </r>
  <r>
    <s v="CSKU04629_3EK"/>
    <x v="1"/>
    <x v="0"/>
    <x v="1"/>
    <x v="6"/>
    <x v="4"/>
    <x v="6"/>
    <x v="16"/>
    <x v="1"/>
    <x v="7"/>
    <x v="0"/>
    <n v="33950"/>
  </r>
  <r>
    <s v="CSKU04630_3EK"/>
    <x v="1"/>
    <x v="0"/>
    <x v="1"/>
    <x v="6"/>
    <x v="4"/>
    <x v="1"/>
    <x v="16"/>
    <x v="1"/>
    <x v="8"/>
    <x v="0"/>
    <n v="37160"/>
  </r>
  <r>
    <s v="CSKU04631_3EK"/>
    <x v="1"/>
    <x v="0"/>
    <x v="1"/>
    <x v="6"/>
    <x v="1"/>
    <x v="6"/>
    <x v="16"/>
    <x v="1"/>
    <x v="7"/>
    <x v="0"/>
    <n v="36160"/>
  </r>
  <r>
    <s v="CSKU04632_3EK"/>
    <x v="1"/>
    <x v="0"/>
    <x v="1"/>
    <x v="6"/>
    <x v="1"/>
    <x v="1"/>
    <x v="16"/>
    <x v="1"/>
    <x v="8"/>
    <x v="0"/>
    <n v="40630"/>
  </r>
  <r>
    <s v="CSKU04633_3EK"/>
    <x v="1"/>
    <x v="0"/>
    <x v="1"/>
    <x v="2"/>
    <x v="4"/>
    <x v="6"/>
    <x v="16"/>
    <x v="1"/>
    <x v="7"/>
    <x v="0"/>
    <n v="38870"/>
  </r>
  <r>
    <s v="CSKU04262_3EK"/>
    <x v="1"/>
    <x v="0"/>
    <x v="0"/>
    <x v="2"/>
    <x v="4"/>
    <x v="1"/>
    <x v="24"/>
    <x v="0"/>
    <x v="8"/>
    <x v="0"/>
    <n v="40400"/>
  </r>
  <r>
    <s v="CSKU04263_3EK"/>
    <x v="1"/>
    <x v="0"/>
    <x v="0"/>
    <x v="2"/>
    <x v="1"/>
    <x v="6"/>
    <x v="24"/>
    <x v="0"/>
    <x v="7"/>
    <x v="0"/>
    <n v="39890"/>
  </r>
  <r>
    <s v="CSKU04523_3EK"/>
    <x v="1"/>
    <x v="0"/>
    <x v="0"/>
    <x v="0"/>
    <x v="4"/>
    <x v="6"/>
    <x v="19"/>
    <x v="0"/>
    <x v="7"/>
    <x v="0"/>
    <n v="27730"/>
  </r>
  <r>
    <s v="CSKU04524_3EK"/>
    <x v="1"/>
    <x v="0"/>
    <x v="0"/>
    <x v="0"/>
    <x v="4"/>
    <x v="1"/>
    <x v="19"/>
    <x v="0"/>
    <x v="8"/>
    <x v="0"/>
    <n v="30600"/>
  </r>
  <r>
    <s v="CSKU04525_3EK"/>
    <x v="1"/>
    <x v="0"/>
    <x v="0"/>
    <x v="0"/>
    <x v="1"/>
    <x v="6"/>
    <x v="19"/>
    <x v="0"/>
    <x v="7"/>
    <x v="0"/>
    <n v="29550"/>
  </r>
  <r>
    <s v="CSKU04526_3EK"/>
    <x v="1"/>
    <x v="0"/>
    <x v="0"/>
    <x v="0"/>
    <x v="1"/>
    <x v="1"/>
    <x v="19"/>
    <x v="0"/>
    <x v="8"/>
    <x v="0"/>
    <n v="33320"/>
  </r>
  <r>
    <s v="CSKU04527_3EK"/>
    <x v="1"/>
    <x v="0"/>
    <x v="0"/>
    <x v="6"/>
    <x v="4"/>
    <x v="6"/>
    <x v="19"/>
    <x v="0"/>
    <x v="7"/>
    <x v="0"/>
    <n v="32560"/>
  </r>
  <r>
    <s v="CSKU04528_3EK"/>
    <x v="1"/>
    <x v="0"/>
    <x v="0"/>
    <x v="6"/>
    <x v="4"/>
    <x v="1"/>
    <x v="19"/>
    <x v="0"/>
    <x v="8"/>
    <x v="0"/>
    <n v="35430"/>
  </r>
  <r>
    <s v="CSKU03097_3EK"/>
    <x v="1"/>
    <x v="0"/>
    <x v="1"/>
    <x v="0"/>
    <x v="1"/>
    <x v="6"/>
    <x v="13"/>
    <x v="1"/>
    <x v="7"/>
    <x v="0"/>
    <n v="30900"/>
  </r>
  <r>
    <s v="CSKU03098_3EK"/>
    <x v="1"/>
    <x v="0"/>
    <x v="1"/>
    <x v="0"/>
    <x v="1"/>
    <x v="1"/>
    <x v="13"/>
    <x v="1"/>
    <x v="8"/>
    <x v="0"/>
    <n v="35110"/>
  </r>
  <r>
    <s v="CSKU03099_3EK"/>
    <x v="1"/>
    <x v="0"/>
    <x v="1"/>
    <x v="6"/>
    <x v="4"/>
    <x v="6"/>
    <x v="13"/>
    <x v="1"/>
    <x v="7"/>
    <x v="0"/>
    <n v="33950"/>
  </r>
  <r>
    <s v="CSKU03100_3EK"/>
    <x v="1"/>
    <x v="0"/>
    <x v="1"/>
    <x v="6"/>
    <x v="4"/>
    <x v="1"/>
    <x v="13"/>
    <x v="1"/>
    <x v="8"/>
    <x v="0"/>
    <n v="37160"/>
  </r>
  <r>
    <s v="CSKU03101_3EK"/>
    <x v="1"/>
    <x v="0"/>
    <x v="1"/>
    <x v="6"/>
    <x v="1"/>
    <x v="6"/>
    <x v="13"/>
    <x v="1"/>
    <x v="7"/>
    <x v="0"/>
    <n v="36160"/>
  </r>
  <r>
    <s v="CSKU03102_3EK"/>
    <x v="1"/>
    <x v="0"/>
    <x v="1"/>
    <x v="6"/>
    <x v="1"/>
    <x v="1"/>
    <x v="13"/>
    <x v="1"/>
    <x v="8"/>
    <x v="0"/>
    <n v="40630"/>
  </r>
  <r>
    <s v="CSKU03103_3EK"/>
    <x v="1"/>
    <x v="0"/>
    <x v="1"/>
    <x v="2"/>
    <x v="4"/>
    <x v="6"/>
    <x v="13"/>
    <x v="1"/>
    <x v="7"/>
    <x v="0"/>
    <n v="38870"/>
  </r>
  <r>
    <s v="CSKU03104_3EK"/>
    <x v="1"/>
    <x v="0"/>
    <x v="1"/>
    <x v="2"/>
    <x v="4"/>
    <x v="1"/>
    <x v="13"/>
    <x v="1"/>
    <x v="8"/>
    <x v="0"/>
    <n v="42250"/>
  </r>
  <r>
    <s v="CSKU03105_3EK"/>
    <x v="1"/>
    <x v="0"/>
    <x v="1"/>
    <x v="2"/>
    <x v="1"/>
    <x v="6"/>
    <x v="13"/>
    <x v="1"/>
    <x v="7"/>
    <x v="0"/>
    <n v="41400"/>
  </r>
  <r>
    <s v="CSKU03106_3EK"/>
    <x v="1"/>
    <x v="0"/>
    <x v="1"/>
    <x v="2"/>
    <x v="1"/>
    <x v="1"/>
    <x v="13"/>
    <x v="1"/>
    <x v="8"/>
    <x v="0"/>
    <n v="46040"/>
  </r>
  <r>
    <s v="CSKU03353_3EK"/>
    <x v="1"/>
    <x v="0"/>
    <x v="0"/>
    <x v="0"/>
    <x v="4"/>
    <x v="6"/>
    <x v="25"/>
    <x v="0"/>
    <x v="7"/>
    <x v="0"/>
    <n v="27730"/>
  </r>
  <r>
    <s v="CSKU03354_3EK"/>
    <x v="1"/>
    <x v="0"/>
    <x v="0"/>
    <x v="0"/>
    <x v="4"/>
    <x v="1"/>
    <x v="25"/>
    <x v="0"/>
    <x v="8"/>
    <x v="0"/>
    <n v="30600"/>
  </r>
  <r>
    <s v="CSKU03355_3EK"/>
    <x v="1"/>
    <x v="0"/>
    <x v="0"/>
    <x v="0"/>
    <x v="1"/>
    <x v="6"/>
    <x v="25"/>
    <x v="0"/>
    <x v="7"/>
    <x v="0"/>
    <n v="29550"/>
  </r>
  <r>
    <s v="CSKU03356_3EK"/>
    <x v="1"/>
    <x v="0"/>
    <x v="0"/>
    <x v="0"/>
    <x v="1"/>
    <x v="1"/>
    <x v="25"/>
    <x v="0"/>
    <x v="8"/>
    <x v="0"/>
    <n v="33320"/>
  </r>
  <r>
    <s v="CSKU03357_3EK"/>
    <x v="1"/>
    <x v="0"/>
    <x v="0"/>
    <x v="6"/>
    <x v="4"/>
    <x v="6"/>
    <x v="25"/>
    <x v="0"/>
    <x v="7"/>
    <x v="0"/>
    <n v="32560"/>
  </r>
  <r>
    <s v="CSKU03358_3EK"/>
    <x v="1"/>
    <x v="0"/>
    <x v="0"/>
    <x v="6"/>
    <x v="4"/>
    <x v="1"/>
    <x v="25"/>
    <x v="0"/>
    <x v="8"/>
    <x v="0"/>
    <n v="35430"/>
  </r>
  <r>
    <s v="CSKU03359_3EK"/>
    <x v="1"/>
    <x v="0"/>
    <x v="0"/>
    <x v="6"/>
    <x v="1"/>
    <x v="6"/>
    <x v="25"/>
    <x v="0"/>
    <x v="7"/>
    <x v="0"/>
    <n v="34740"/>
  </r>
  <r>
    <s v="CSKU03360_3EK"/>
    <x v="1"/>
    <x v="0"/>
    <x v="0"/>
    <x v="6"/>
    <x v="1"/>
    <x v="1"/>
    <x v="25"/>
    <x v="0"/>
    <x v="8"/>
    <x v="0"/>
    <n v="38730"/>
  </r>
  <r>
    <s v="CSKU03361_3EK"/>
    <x v="1"/>
    <x v="0"/>
    <x v="0"/>
    <x v="2"/>
    <x v="4"/>
    <x v="6"/>
    <x v="25"/>
    <x v="0"/>
    <x v="7"/>
    <x v="0"/>
    <n v="37390"/>
  </r>
  <r>
    <s v="CSKU03362_3EK"/>
    <x v="1"/>
    <x v="0"/>
    <x v="0"/>
    <x v="2"/>
    <x v="4"/>
    <x v="1"/>
    <x v="25"/>
    <x v="0"/>
    <x v="8"/>
    <x v="0"/>
    <n v="40400"/>
  </r>
  <r>
    <s v="CSKU03721_3EK"/>
    <x v="1"/>
    <x v="0"/>
    <x v="0"/>
    <x v="2"/>
    <x v="4"/>
    <x v="6"/>
    <x v="22"/>
    <x v="0"/>
    <x v="7"/>
    <x v="0"/>
    <n v="37390"/>
  </r>
  <r>
    <s v="CSKU04253_3EK"/>
    <x v="1"/>
    <x v="0"/>
    <x v="0"/>
    <x v="0"/>
    <x v="4"/>
    <x v="6"/>
    <x v="24"/>
    <x v="0"/>
    <x v="7"/>
    <x v="0"/>
    <n v="27730"/>
  </r>
  <r>
    <s v="CSKU03722_3EK"/>
    <x v="1"/>
    <x v="0"/>
    <x v="0"/>
    <x v="2"/>
    <x v="4"/>
    <x v="1"/>
    <x v="22"/>
    <x v="0"/>
    <x v="8"/>
    <x v="0"/>
    <n v="40400"/>
  </r>
  <r>
    <s v="CSKU03723_3EK"/>
    <x v="1"/>
    <x v="0"/>
    <x v="0"/>
    <x v="2"/>
    <x v="1"/>
    <x v="6"/>
    <x v="22"/>
    <x v="0"/>
    <x v="7"/>
    <x v="0"/>
    <n v="39890"/>
  </r>
  <r>
    <s v="CSKU03724_3EK"/>
    <x v="1"/>
    <x v="0"/>
    <x v="0"/>
    <x v="2"/>
    <x v="1"/>
    <x v="1"/>
    <x v="22"/>
    <x v="0"/>
    <x v="8"/>
    <x v="0"/>
    <n v="44020"/>
  </r>
  <r>
    <s v="CSKU03725_3EK"/>
    <x v="1"/>
    <x v="0"/>
    <x v="1"/>
    <x v="0"/>
    <x v="4"/>
    <x v="6"/>
    <x v="22"/>
    <x v="1"/>
    <x v="7"/>
    <x v="0"/>
    <n v="29050"/>
  </r>
  <r>
    <s v="CSKU03726_3EK"/>
    <x v="1"/>
    <x v="0"/>
    <x v="1"/>
    <x v="0"/>
    <x v="4"/>
    <x v="1"/>
    <x v="22"/>
    <x v="1"/>
    <x v="8"/>
    <x v="0"/>
    <n v="32250"/>
  </r>
  <r>
    <s v="CSKU03727_3EK"/>
    <x v="1"/>
    <x v="0"/>
    <x v="1"/>
    <x v="0"/>
    <x v="1"/>
    <x v="6"/>
    <x v="22"/>
    <x v="1"/>
    <x v="7"/>
    <x v="0"/>
    <n v="30900"/>
  </r>
  <r>
    <s v="CSKU03728_3EK"/>
    <x v="1"/>
    <x v="0"/>
    <x v="1"/>
    <x v="0"/>
    <x v="1"/>
    <x v="1"/>
    <x v="22"/>
    <x v="1"/>
    <x v="8"/>
    <x v="0"/>
    <n v="35110"/>
  </r>
  <r>
    <s v="CSKU03729_3EK"/>
    <x v="1"/>
    <x v="0"/>
    <x v="1"/>
    <x v="6"/>
    <x v="4"/>
    <x v="6"/>
    <x v="22"/>
    <x v="1"/>
    <x v="7"/>
    <x v="0"/>
    <n v="33950"/>
  </r>
  <r>
    <s v="CSKU03730_3EK"/>
    <x v="1"/>
    <x v="0"/>
    <x v="1"/>
    <x v="6"/>
    <x v="4"/>
    <x v="1"/>
    <x v="22"/>
    <x v="1"/>
    <x v="8"/>
    <x v="0"/>
    <n v="37160"/>
  </r>
  <r>
    <s v="CSKU03731_3EK"/>
    <x v="1"/>
    <x v="0"/>
    <x v="1"/>
    <x v="6"/>
    <x v="1"/>
    <x v="6"/>
    <x v="22"/>
    <x v="1"/>
    <x v="7"/>
    <x v="0"/>
    <n v="36160"/>
  </r>
  <r>
    <s v="CSKU03624_3EK"/>
    <x v="1"/>
    <x v="0"/>
    <x v="0"/>
    <x v="0"/>
    <x v="4"/>
    <x v="1"/>
    <x v="26"/>
    <x v="0"/>
    <x v="8"/>
    <x v="0"/>
    <n v="30600"/>
  </r>
  <r>
    <s v="CSKU03625_3EK"/>
    <x v="1"/>
    <x v="0"/>
    <x v="0"/>
    <x v="0"/>
    <x v="1"/>
    <x v="6"/>
    <x v="26"/>
    <x v="0"/>
    <x v="7"/>
    <x v="0"/>
    <n v="29550"/>
  </r>
  <r>
    <s v="CSKU03732_3EK"/>
    <x v="1"/>
    <x v="0"/>
    <x v="1"/>
    <x v="6"/>
    <x v="1"/>
    <x v="1"/>
    <x v="22"/>
    <x v="1"/>
    <x v="8"/>
    <x v="0"/>
    <n v="40630"/>
  </r>
  <r>
    <s v="CSKU04254_3EK"/>
    <x v="1"/>
    <x v="0"/>
    <x v="0"/>
    <x v="0"/>
    <x v="4"/>
    <x v="1"/>
    <x v="24"/>
    <x v="0"/>
    <x v="8"/>
    <x v="0"/>
    <n v="30600"/>
  </r>
  <r>
    <s v="CSKU04255_3EK"/>
    <x v="1"/>
    <x v="0"/>
    <x v="0"/>
    <x v="0"/>
    <x v="1"/>
    <x v="6"/>
    <x v="24"/>
    <x v="0"/>
    <x v="7"/>
    <x v="0"/>
    <n v="29550"/>
  </r>
  <r>
    <s v="CSKU04256_3EK"/>
    <x v="1"/>
    <x v="0"/>
    <x v="0"/>
    <x v="0"/>
    <x v="1"/>
    <x v="1"/>
    <x v="24"/>
    <x v="0"/>
    <x v="8"/>
    <x v="0"/>
    <n v="33320"/>
  </r>
  <r>
    <s v="CSKU04257_3EK"/>
    <x v="1"/>
    <x v="0"/>
    <x v="0"/>
    <x v="6"/>
    <x v="4"/>
    <x v="6"/>
    <x v="24"/>
    <x v="0"/>
    <x v="7"/>
    <x v="0"/>
    <n v="32560"/>
  </r>
  <r>
    <s v="CSKU04258_3EK"/>
    <x v="1"/>
    <x v="0"/>
    <x v="0"/>
    <x v="6"/>
    <x v="4"/>
    <x v="1"/>
    <x v="24"/>
    <x v="0"/>
    <x v="8"/>
    <x v="0"/>
    <n v="35430"/>
  </r>
  <r>
    <s v="CSKU04259_3EK"/>
    <x v="1"/>
    <x v="0"/>
    <x v="0"/>
    <x v="6"/>
    <x v="1"/>
    <x v="6"/>
    <x v="24"/>
    <x v="0"/>
    <x v="7"/>
    <x v="0"/>
    <n v="34740"/>
  </r>
  <r>
    <s v="CSKU04260_3EK"/>
    <x v="1"/>
    <x v="0"/>
    <x v="0"/>
    <x v="6"/>
    <x v="1"/>
    <x v="1"/>
    <x v="24"/>
    <x v="0"/>
    <x v="8"/>
    <x v="0"/>
    <n v="38730"/>
  </r>
  <r>
    <s v="CSKU04261_3EK"/>
    <x v="1"/>
    <x v="0"/>
    <x v="0"/>
    <x v="2"/>
    <x v="4"/>
    <x v="6"/>
    <x v="24"/>
    <x v="0"/>
    <x v="7"/>
    <x v="0"/>
    <n v="37390"/>
  </r>
  <r>
    <s v="CSKU03733_3EK"/>
    <x v="1"/>
    <x v="0"/>
    <x v="1"/>
    <x v="2"/>
    <x v="4"/>
    <x v="6"/>
    <x v="22"/>
    <x v="1"/>
    <x v="7"/>
    <x v="0"/>
    <n v="38870"/>
  </r>
  <r>
    <s v="CSKU03734_3EK"/>
    <x v="1"/>
    <x v="0"/>
    <x v="1"/>
    <x v="2"/>
    <x v="4"/>
    <x v="1"/>
    <x v="22"/>
    <x v="1"/>
    <x v="8"/>
    <x v="0"/>
    <n v="42250"/>
  </r>
  <r>
    <s v="CSKU03735_3EK"/>
    <x v="1"/>
    <x v="0"/>
    <x v="1"/>
    <x v="2"/>
    <x v="1"/>
    <x v="6"/>
    <x v="22"/>
    <x v="1"/>
    <x v="7"/>
    <x v="0"/>
    <n v="41400"/>
  </r>
  <r>
    <s v="CSKU03736_3EK"/>
    <x v="1"/>
    <x v="0"/>
    <x v="1"/>
    <x v="2"/>
    <x v="1"/>
    <x v="1"/>
    <x v="22"/>
    <x v="1"/>
    <x v="8"/>
    <x v="0"/>
    <n v="46040"/>
  </r>
  <r>
    <s v="CSKU03983_3EK"/>
    <x v="1"/>
    <x v="0"/>
    <x v="0"/>
    <x v="0"/>
    <x v="4"/>
    <x v="6"/>
    <x v="23"/>
    <x v="0"/>
    <x v="7"/>
    <x v="0"/>
    <n v="27730"/>
  </r>
  <r>
    <s v="CSKU03984_3EK"/>
    <x v="1"/>
    <x v="0"/>
    <x v="0"/>
    <x v="0"/>
    <x v="4"/>
    <x v="1"/>
    <x v="23"/>
    <x v="0"/>
    <x v="8"/>
    <x v="0"/>
    <n v="30600"/>
  </r>
  <r>
    <s v="CSKU03985_3EK"/>
    <x v="1"/>
    <x v="0"/>
    <x v="0"/>
    <x v="0"/>
    <x v="1"/>
    <x v="6"/>
    <x v="23"/>
    <x v="0"/>
    <x v="7"/>
    <x v="0"/>
    <n v="29550"/>
  </r>
  <r>
    <s v="CSKU03986_3EK"/>
    <x v="1"/>
    <x v="0"/>
    <x v="0"/>
    <x v="0"/>
    <x v="1"/>
    <x v="1"/>
    <x v="23"/>
    <x v="0"/>
    <x v="8"/>
    <x v="0"/>
    <n v="33320"/>
  </r>
  <r>
    <s v="CSKU02734_3EK"/>
    <x v="1"/>
    <x v="0"/>
    <x v="0"/>
    <x v="2"/>
    <x v="1"/>
    <x v="1"/>
    <x v="12"/>
    <x v="0"/>
    <x v="8"/>
    <x v="0"/>
    <n v="44020"/>
  </r>
  <r>
    <s v="CSKU02735_3EK"/>
    <x v="1"/>
    <x v="0"/>
    <x v="1"/>
    <x v="0"/>
    <x v="4"/>
    <x v="6"/>
    <x v="12"/>
    <x v="1"/>
    <x v="7"/>
    <x v="0"/>
    <n v="29050"/>
  </r>
  <r>
    <s v="CSKU02736_3EK"/>
    <x v="1"/>
    <x v="0"/>
    <x v="1"/>
    <x v="0"/>
    <x v="4"/>
    <x v="1"/>
    <x v="12"/>
    <x v="1"/>
    <x v="8"/>
    <x v="0"/>
    <n v="32250"/>
  </r>
  <r>
    <s v="CSKU02737_3EK"/>
    <x v="1"/>
    <x v="0"/>
    <x v="1"/>
    <x v="0"/>
    <x v="1"/>
    <x v="6"/>
    <x v="12"/>
    <x v="1"/>
    <x v="7"/>
    <x v="0"/>
    <n v="30900"/>
  </r>
  <r>
    <s v="CSKU02738_3EK"/>
    <x v="1"/>
    <x v="0"/>
    <x v="1"/>
    <x v="0"/>
    <x v="1"/>
    <x v="1"/>
    <x v="12"/>
    <x v="1"/>
    <x v="8"/>
    <x v="0"/>
    <n v="35110"/>
  </r>
  <r>
    <s v="CSKU02739_3EK"/>
    <x v="1"/>
    <x v="0"/>
    <x v="1"/>
    <x v="6"/>
    <x v="4"/>
    <x v="6"/>
    <x v="12"/>
    <x v="1"/>
    <x v="7"/>
    <x v="0"/>
    <n v="33950"/>
  </r>
  <r>
    <s v="CSKU02740_3EK"/>
    <x v="1"/>
    <x v="0"/>
    <x v="1"/>
    <x v="6"/>
    <x v="4"/>
    <x v="1"/>
    <x v="12"/>
    <x v="1"/>
    <x v="8"/>
    <x v="0"/>
    <n v="37160"/>
  </r>
  <r>
    <s v="CSKU02741_3EK"/>
    <x v="1"/>
    <x v="0"/>
    <x v="1"/>
    <x v="6"/>
    <x v="1"/>
    <x v="6"/>
    <x v="12"/>
    <x v="1"/>
    <x v="7"/>
    <x v="0"/>
    <n v="36160"/>
  </r>
  <r>
    <s v="CSKU02742_3EK"/>
    <x v="1"/>
    <x v="0"/>
    <x v="1"/>
    <x v="6"/>
    <x v="1"/>
    <x v="1"/>
    <x v="12"/>
    <x v="1"/>
    <x v="8"/>
    <x v="0"/>
    <n v="40630"/>
  </r>
  <r>
    <s v="CSKU02743_3EK"/>
    <x v="1"/>
    <x v="0"/>
    <x v="1"/>
    <x v="2"/>
    <x v="4"/>
    <x v="6"/>
    <x v="12"/>
    <x v="1"/>
    <x v="7"/>
    <x v="0"/>
    <n v="38870"/>
  </r>
  <r>
    <s v="CSKU03363_3EK"/>
    <x v="1"/>
    <x v="0"/>
    <x v="0"/>
    <x v="2"/>
    <x v="1"/>
    <x v="6"/>
    <x v="25"/>
    <x v="0"/>
    <x v="7"/>
    <x v="0"/>
    <n v="39890"/>
  </r>
  <r>
    <s v="CSKU03016_3EK"/>
    <x v="1"/>
    <x v="0"/>
    <x v="1"/>
    <x v="2"/>
    <x v="1"/>
    <x v="1"/>
    <x v="27"/>
    <x v="1"/>
    <x v="8"/>
    <x v="0"/>
    <n v="46040"/>
  </r>
  <r>
    <s v="CSKU03364_3EK"/>
    <x v="1"/>
    <x v="0"/>
    <x v="0"/>
    <x v="2"/>
    <x v="1"/>
    <x v="1"/>
    <x v="25"/>
    <x v="0"/>
    <x v="8"/>
    <x v="0"/>
    <n v="44020"/>
  </r>
  <r>
    <s v="CSKU03365_3EK"/>
    <x v="1"/>
    <x v="0"/>
    <x v="1"/>
    <x v="0"/>
    <x v="4"/>
    <x v="6"/>
    <x v="25"/>
    <x v="1"/>
    <x v="7"/>
    <x v="0"/>
    <n v="29050"/>
  </r>
  <r>
    <s v="CSKU03366_3EK"/>
    <x v="1"/>
    <x v="0"/>
    <x v="1"/>
    <x v="0"/>
    <x v="4"/>
    <x v="1"/>
    <x v="25"/>
    <x v="1"/>
    <x v="8"/>
    <x v="0"/>
    <n v="32250"/>
  </r>
  <r>
    <s v="CSKU03367_3EK"/>
    <x v="1"/>
    <x v="0"/>
    <x v="1"/>
    <x v="0"/>
    <x v="1"/>
    <x v="6"/>
    <x v="25"/>
    <x v="1"/>
    <x v="7"/>
    <x v="0"/>
    <n v="30900"/>
  </r>
  <r>
    <s v="CSKU03368_3EK"/>
    <x v="1"/>
    <x v="0"/>
    <x v="1"/>
    <x v="0"/>
    <x v="1"/>
    <x v="1"/>
    <x v="25"/>
    <x v="1"/>
    <x v="8"/>
    <x v="0"/>
    <n v="35110"/>
  </r>
  <r>
    <s v="CSKU03369_3EK"/>
    <x v="1"/>
    <x v="0"/>
    <x v="1"/>
    <x v="6"/>
    <x v="4"/>
    <x v="6"/>
    <x v="25"/>
    <x v="1"/>
    <x v="7"/>
    <x v="0"/>
    <n v="33950"/>
  </r>
  <r>
    <s v="CSKU03370_3EK"/>
    <x v="1"/>
    <x v="0"/>
    <x v="1"/>
    <x v="6"/>
    <x v="4"/>
    <x v="1"/>
    <x v="25"/>
    <x v="1"/>
    <x v="8"/>
    <x v="0"/>
    <n v="37160"/>
  </r>
  <r>
    <s v="CSKU03371_3EK"/>
    <x v="1"/>
    <x v="0"/>
    <x v="1"/>
    <x v="6"/>
    <x v="1"/>
    <x v="6"/>
    <x v="25"/>
    <x v="1"/>
    <x v="7"/>
    <x v="0"/>
    <n v="36160"/>
  </r>
  <r>
    <s v="CSKU03372_3EK"/>
    <x v="1"/>
    <x v="0"/>
    <x v="1"/>
    <x v="6"/>
    <x v="1"/>
    <x v="1"/>
    <x v="25"/>
    <x v="1"/>
    <x v="8"/>
    <x v="0"/>
    <n v="40630"/>
  </r>
  <r>
    <s v="CSKU03373_3EK"/>
    <x v="1"/>
    <x v="0"/>
    <x v="1"/>
    <x v="2"/>
    <x v="4"/>
    <x v="6"/>
    <x v="25"/>
    <x v="1"/>
    <x v="7"/>
    <x v="0"/>
    <n v="38870"/>
  </r>
  <r>
    <s v="CSKU02993_3EK"/>
    <x v="1"/>
    <x v="0"/>
    <x v="0"/>
    <x v="0"/>
    <x v="4"/>
    <x v="6"/>
    <x v="27"/>
    <x v="0"/>
    <x v="7"/>
    <x v="0"/>
    <n v="27730"/>
  </r>
  <r>
    <s v="CSKU02994_3EK"/>
    <x v="1"/>
    <x v="0"/>
    <x v="0"/>
    <x v="0"/>
    <x v="4"/>
    <x v="1"/>
    <x v="27"/>
    <x v="0"/>
    <x v="8"/>
    <x v="0"/>
    <n v="30600"/>
  </r>
  <r>
    <s v="CSKU02386_3EK"/>
    <x v="1"/>
    <x v="0"/>
    <x v="1"/>
    <x v="2"/>
    <x v="4"/>
    <x v="1"/>
    <x v="11"/>
    <x v="1"/>
    <x v="8"/>
    <x v="0"/>
    <n v="34440"/>
  </r>
  <r>
    <s v="CSKU02387_3EK"/>
    <x v="1"/>
    <x v="0"/>
    <x v="1"/>
    <x v="2"/>
    <x v="1"/>
    <x v="6"/>
    <x v="11"/>
    <x v="1"/>
    <x v="7"/>
    <x v="0"/>
    <n v="32670"/>
  </r>
  <r>
    <s v="CSKU02388_3EK"/>
    <x v="1"/>
    <x v="0"/>
    <x v="1"/>
    <x v="2"/>
    <x v="1"/>
    <x v="1"/>
    <x v="11"/>
    <x v="1"/>
    <x v="8"/>
    <x v="0"/>
    <n v="37310"/>
  </r>
  <r>
    <s v="CSKU02744_3EK"/>
    <x v="1"/>
    <x v="0"/>
    <x v="1"/>
    <x v="2"/>
    <x v="4"/>
    <x v="1"/>
    <x v="12"/>
    <x v="1"/>
    <x v="8"/>
    <x v="0"/>
    <n v="42250"/>
  </r>
  <r>
    <s v="CSKU02995_3EK"/>
    <x v="1"/>
    <x v="0"/>
    <x v="0"/>
    <x v="0"/>
    <x v="1"/>
    <x v="6"/>
    <x v="27"/>
    <x v="0"/>
    <x v="7"/>
    <x v="0"/>
    <n v="29550"/>
  </r>
  <r>
    <s v="CSKU03374_3EK"/>
    <x v="1"/>
    <x v="0"/>
    <x v="1"/>
    <x v="2"/>
    <x v="4"/>
    <x v="1"/>
    <x v="25"/>
    <x v="1"/>
    <x v="8"/>
    <x v="0"/>
    <n v="42250"/>
  </r>
  <r>
    <s v="CSKU03623_3EK"/>
    <x v="1"/>
    <x v="0"/>
    <x v="0"/>
    <x v="0"/>
    <x v="4"/>
    <x v="6"/>
    <x v="26"/>
    <x v="0"/>
    <x v="7"/>
    <x v="0"/>
    <n v="27730"/>
  </r>
  <r>
    <s v="CSKU02723_3EK"/>
    <x v="1"/>
    <x v="0"/>
    <x v="0"/>
    <x v="0"/>
    <x v="4"/>
    <x v="6"/>
    <x v="12"/>
    <x v="0"/>
    <x v="7"/>
    <x v="0"/>
    <n v="27730"/>
  </r>
  <r>
    <s v="CSKU02724_3EK"/>
    <x v="1"/>
    <x v="0"/>
    <x v="0"/>
    <x v="0"/>
    <x v="4"/>
    <x v="1"/>
    <x v="12"/>
    <x v="0"/>
    <x v="8"/>
    <x v="0"/>
    <n v="30600"/>
  </r>
  <r>
    <s v="CSKU02725_3EK"/>
    <x v="1"/>
    <x v="0"/>
    <x v="0"/>
    <x v="0"/>
    <x v="1"/>
    <x v="6"/>
    <x v="12"/>
    <x v="0"/>
    <x v="7"/>
    <x v="0"/>
    <n v="29550"/>
  </r>
  <r>
    <s v="CSKU02726_3EK"/>
    <x v="1"/>
    <x v="0"/>
    <x v="0"/>
    <x v="0"/>
    <x v="1"/>
    <x v="1"/>
    <x v="12"/>
    <x v="0"/>
    <x v="8"/>
    <x v="0"/>
    <n v="33320"/>
  </r>
  <r>
    <s v="CSKU02727_3EK"/>
    <x v="1"/>
    <x v="0"/>
    <x v="0"/>
    <x v="6"/>
    <x v="4"/>
    <x v="6"/>
    <x v="12"/>
    <x v="0"/>
    <x v="7"/>
    <x v="0"/>
    <n v="32560"/>
  </r>
  <r>
    <s v="CSKU02745_3EK"/>
    <x v="1"/>
    <x v="0"/>
    <x v="1"/>
    <x v="2"/>
    <x v="1"/>
    <x v="6"/>
    <x v="12"/>
    <x v="1"/>
    <x v="7"/>
    <x v="0"/>
    <n v="41400"/>
  </r>
  <r>
    <s v="CSKU02746_3EK"/>
    <x v="1"/>
    <x v="0"/>
    <x v="1"/>
    <x v="2"/>
    <x v="1"/>
    <x v="1"/>
    <x v="12"/>
    <x v="1"/>
    <x v="8"/>
    <x v="0"/>
    <n v="46040"/>
  </r>
  <r>
    <s v="CSKU02996_3EK"/>
    <x v="1"/>
    <x v="0"/>
    <x v="0"/>
    <x v="0"/>
    <x v="1"/>
    <x v="1"/>
    <x v="27"/>
    <x v="0"/>
    <x v="8"/>
    <x v="0"/>
    <n v="33320"/>
  </r>
  <r>
    <s v="CSKU02997_3EK"/>
    <x v="1"/>
    <x v="0"/>
    <x v="0"/>
    <x v="6"/>
    <x v="4"/>
    <x v="6"/>
    <x v="27"/>
    <x v="0"/>
    <x v="7"/>
    <x v="0"/>
    <n v="32560"/>
  </r>
  <r>
    <s v="CSKU02998_3EK"/>
    <x v="1"/>
    <x v="0"/>
    <x v="0"/>
    <x v="6"/>
    <x v="4"/>
    <x v="1"/>
    <x v="27"/>
    <x v="0"/>
    <x v="8"/>
    <x v="0"/>
    <n v="35430"/>
  </r>
  <r>
    <s v="CSKU02999_3EK"/>
    <x v="1"/>
    <x v="0"/>
    <x v="0"/>
    <x v="6"/>
    <x v="1"/>
    <x v="6"/>
    <x v="27"/>
    <x v="0"/>
    <x v="7"/>
    <x v="0"/>
    <n v="34740"/>
  </r>
  <r>
    <s v="CSKU03000_3EK"/>
    <x v="1"/>
    <x v="0"/>
    <x v="0"/>
    <x v="6"/>
    <x v="1"/>
    <x v="1"/>
    <x v="27"/>
    <x v="0"/>
    <x v="8"/>
    <x v="0"/>
    <n v="38730"/>
  </r>
  <r>
    <s v="CSKU03001_3EK"/>
    <x v="1"/>
    <x v="0"/>
    <x v="0"/>
    <x v="2"/>
    <x v="4"/>
    <x v="6"/>
    <x v="27"/>
    <x v="0"/>
    <x v="7"/>
    <x v="0"/>
    <n v="37390"/>
  </r>
  <r>
    <s v="CSKU03002_3EK"/>
    <x v="1"/>
    <x v="0"/>
    <x v="0"/>
    <x v="2"/>
    <x v="4"/>
    <x v="1"/>
    <x v="27"/>
    <x v="0"/>
    <x v="8"/>
    <x v="0"/>
    <n v="40400"/>
  </r>
  <r>
    <s v="CSKU03003_3EK"/>
    <x v="1"/>
    <x v="0"/>
    <x v="0"/>
    <x v="2"/>
    <x v="1"/>
    <x v="6"/>
    <x v="27"/>
    <x v="0"/>
    <x v="7"/>
    <x v="0"/>
    <n v="39890"/>
  </r>
  <r>
    <s v="CSKU03004_3EK"/>
    <x v="1"/>
    <x v="0"/>
    <x v="0"/>
    <x v="2"/>
    <x v="1"/>
    <x v="1"/>
    <x v="27"/>
    <x v="0"/>
    <x v="8"/>
    <x v="0"/>
    <n v="44020"/>
  </r>
  <r>
    <s v="CSKU03005_3EK"/>
    <x v="1"/>
    <x v="0"/>
    <x v="1"/>
    <x v="0"/>
    <x v="4"/>
    <x v="6"/>
    <x v="27"/>
    <x v="1"/>
    <x v="7"/>
    <x v="0"/>
    <n v="29050"/>
  </r>
  <r>
    <s v="CSKU03375_3EK"/>
    <x v="1"/>
    <x v="0"/>
    <x v="1"/>
    <x v="2"/>
    <x v="1"/>
    <x v="6"/>
    <x v="25"/>
    <x v="1"/>
    <x v="7"/>
    <x v="0"/>
    <n v="41400"/>
  </r>
  <r>
    <s v="CSKU03376_3EK"/>
    <x v="1"/>
    <x v="0"/>
    <x v="1"/>
    <x v="2"/>
    <x v="1"/>
    <x v="1"/>
    <x v="25"/>
    <x v="1"/>
    <x v="8"/>
    <x v="0"/>
    <n v="46040"/>
  </r>
  <r>
    <s v="CSKU02728_3EK"/>
    <x v="1"/>
    <x v="0"/>
    <x v="0"/>
    <x v="6"/>
    <x v="4"/>
    <x v="1"/>
    <x v="12"/>
    <x v="0"/>
    <x v="8"/>
    <x v="0"/>
    <n v="35430"/>
  </r>
  <r>
    <s v="CSKU03006_3EK"/>
    <x v="1"/>
    <x v="0"/>
    <x v="1"/>
    <x v="0"/>
    <x v="4"/>
    <x v="1"/>
    <x v="27"/>
    <x v="1"/>
    <x v="8"/>
    <x v="0"/>
    <n v="32250"/>
  </r>
  <r>
    <s v="CSKU02184_2EK"/>
    <x v="1"/>
    <x v="1"/>
    <x v="0"/>
    <x v="1"/>
    <x v="4"/>
    <x v="6"/>
    <x v="28"/>
    <x v="0"/>
    <x v="5"/>
    <x v="0"/>
    <n v="19840"/>
  </r>
  <r>
    <s v="CSKU02185_2EK"/>
    <x v="1"/>
    <x v="1"/>
    <x v="0"/>
    <x v="1"/>
    <x v="4"/>
    <x v="1"/>
    <x v="28"/>
    <x v="0"/>
    <x v="6"/>
    <x v="0"/>
    <n v="21880"/>
  </r>
  <r>
    <s v="CSKU03007_3EK"/>
    <x v="1"/>
    <x v="0"/>
    <x v="1"/>
    <x v="0"/>
    <x v="1"/>
    <x v="6"/>
    <x v="27"/>
    <x v="1"/>
    <x v="7"/>
    <x v="0"/>
    <n v="30900"/>
  </r>
  <r>
    <s v="CSKU03008_3EK"/>
    <x v="1"/>
    <x v="0"/>
    <x v="1"/>
    <x v="0"/>
    <x v="1"/>
    <x v="1"/>
    <x v="27"/>
    <x v="1"/>
    <x v="8"/>
    <x v="0"/>
    <n v="35110"/>
  </r>
  <r>
    <s v="CSKU03009_3EK"/>
    <x v="1"/>
    <x v="0"/>
    <x v="1"/>
    <x v="6"/>
    <x v="4"/>
    <x v="6"/>
    <x v="27"/>
    <x v="1"/>
    <x v="7"/>
    <x v="0"/>
    <n v="33950"/>
  </r>
  <r>
    <s v="CSKU03010_3EK"/>
    <x v="1"/>
    <x v="0"/>
    <x v="1"/>
    <x v="6"/>
    <x v="4"/>
    <x v="1"/>
    <x v="27"/>
    <x v="1"/>
    <x v="8"/>
    <x v="0"/>
    <n v="37160"/>
  </r>
  <r>
    <s v="CSKU03011_3EK"/>
    <x v="1"/>
    <x v="0"/>
    <x v="1"/>
    <x v="6"/>
    <x v="1"/>
    <x v="6"/>
    <x v="27"/>
    <x v="1"/>
    <x v="7"/>
    <x v="0"/>
    <n v="36160"/>
  </r>
  <r>
    <s v="CSKU03012_3EK"/>
    <x v="1"/>
    <x v="0"/>
    <x v="1"/>
    <x v="6"/>
    <x v="1"/>
    <x v="1"/>
    <x v="27"/>
    <x v="1"/>
    <x v="8"/>
    <x v="0"/>
    <n v="40630"/>
  </r>
  <r>
    <s v="CSKU03013_3EK"/>
    <x v="1"/>
    <x v="0"/>
    <x v="1"/>
    <x v="2"/>
    <x v="4"/>
    <x v="6"/>
    <x v="27"/>
    <x v="1"/>
    <x v="7"/>
    <x v="0"/>
    <n v="38870"/>
  </r>
  <r>
    <s v="CSKU03014_3EK"/>
    <x v="1"/>
    <x v="0"/>
    <x v="1"/>
    <x v="2"/>
    <x v="4"/>
    <x v="1"/>
    <x v="27"/>
    <x v="1"/>
    <x v="8"/>
    <x v="0"/>
    <n v="42250"/>
  </r>
  <r>
    <s v="CSKU03015_3EK"/>
    <x v="1"/>
    <x v="0"/>
    <x v="1"/>
    <x v="2"/>
    <x v="1"/>
    <x v="6"/>
    <x v="27"/>
    <x v="1"/>
    <x v="7"/>
    <x v="0"/>
    <n v="41400"/>
  </r>
  <r>
    <s v="CSKU02274_2EK"/>
    <x v="1"/>
    <x v="1"/>
    <x v="0"/>
    <x v="1"/>
    <x v="4"/>
    <x v="6"/>
    <x v="29"/>
    <x v="0"/>
    <x v="5"/>
    <x v="0"/>
    <n v="8520"/>
  </r>
  <r>
    <s v="CSKU02275_2EK"/>
    <x v="1"/>
    <x v="1"/>
    <x v="0"/>
    <x v="1"/>
    <x v="4"/>
    <x v="1"/>
    <x v="29"/>
    <x v="0"/>
    <x v="6"/>
    <x v="0"/>
    <n v="10560"/>
  </r>
  <r>
    <s v="CSKU02276_2EK"/>
    <x v="1"/>
    <x v="1"/>
    <x v="0"/>
    <x v="1"/>
    <x v="1"/>
    <x v="6"/>
    <x v="29"/>
    <x v="0"/>
    <x v="5"/>
    <x v="0"/>
    <n v="9100"/>
  </r>
  <r>
    <s v="CSKU02277_2EK"/>
    <x v="1"/>
    <x v="1"/>
    <x v="0"/>
    <x v="1"/>
    <x v="1"/>
    <x v="1"/>
    <x v="29"/>
    <x v="0"/>
    <x v="6"/>
    <x v="0"/>
    <n v="11460"/>
  </r>
  <r>
    <s v="CSKU02278_2EK"/>
    <x v="1"/>
    <x v="1"/>
    <x v="0"/>
    <x v="5"/>
    <x v="4"/>
    <x v="6"/>
    <x v="29"/>
    <x v="0"/>
    <x v="5"/>
    <x v="0"/>
    <n v="9050"/>
  </r>
  <r>
    <s v="CSKU02279_2EK"/>
    <x v="1"/>
    <x v="1"/>
    <x v="0"/>
    <x v="5"/>
    <x v="4"/>
    <x v="1"/>
    <x v="29"/>
    <x v="0"/>
    <x v="6"/>
    <x v="0"/>
    <n v="11300"/>
  </r>
  <r>
    <s v="CSKU02280_2EK"/>
    <x v="1"/>
    <x v="1"/>
    <x v="0"/>
    <x v="5"/>
    <x v="1"/>
    <x v="6"/>
    <x v="29"/>
    <x v="0"/>
    <x v="5"/>
    <x v="0"/>
    <n v="9270"/>
  </r>
  <r>
    <s v="CSKU02281_2EK"/>
    <x v="1"/>
    <x v="1"/>
    <x v="0"/>
    <x v="5"/>
    <x v="1"/>
    <x v="1"/>
    <x v="29"/>
    <x v="0"/>
    <x v="6"/>
    <x v="0"/>
    <n v="12350"/>
  </r>
  <r>
    <s v="CSKU01936_2EK"/>
    <x v="1"/>
    <x v="1"/>
    <x v="1"/>
    <x v="4"/>
    <x v="1"/>
    <x v="6"/>
    <x v="30"/>
    <x v="1"/>
    <x v="5"/>
    <x v="0"/>
    <n v="27800"/>
  </r>
  <r>
    <s v="CSKU01937_2EK"/>
    <x v="1"/>
    <x v="1"/>
    <x v="1"/>
    <x v="4"/>
    <x v="1"/>
    <x v="1"/>
    <x v="30"/>
    <x v="1"/>
    <x v="6"/>
    <x v="0"/>
    <n v="31430"/>
  </r>
  <r>
    <s v="CSKU02004_2EK"/>
    <x v="1"/>
    <x v="1"/>
    <x v="0"/>
    <x v="1"/>
    <x v="4"/>
    <x v="6"/>
    <x v="31"/>
    <x v="0"/>
    <x v="5"/>
    <x v="0"/>
    <n v="19840"/>
  </r>
  <r>
    <s v="CSKU02282_2EK"/>
    <x v="1"/>
    <x v="1"/>
    <x v="0"/>
    <x v="4"/>
    <x v="4"/>
    <x v="6"/>
    <x v="29"/>
    <x v="0"/>
    <x v="5"/>
    <x v="0"/>
    <n v="9630"/>
  </r>
  <r>
    <s v="CSKU02005_2EK"/>
    <x v="1"/>
    <x v="1"/>
    <x v="0"/>
    <x v="1"/>
    <x v="4"/>
    <x v="1"/>
    <x v="31"/>
    <x v="0"/>
    <x v="6"/>
    <x v="0"/>
    <n v="21880"/>
  </r>
  <r>
    <s v="CSKU02006_2EK"/>
    <x v="1"/>
    <x v="1"/>
    <x v="0"/>
    <x v="1"/>
    <x v="1"/>
    <x v="6"/>
    <x v="31"/>
    <x v="0"/>
    <x v="5"/>
    <x v="0"/>
    <n v="21470"/>
  </r>
  <r>
    <s v="CSKU02007_2EK"/>
    <x v="1"/>
    <x v="1"/>
    <x v="0"/>
    <x v="1"/>
    <x v="1"/>
    <x v="1"/>
    <x v="31"/>
    <x v="0"/>
    <x v="6"/>
    <x v="0"/>
    <n v="23830"/>
  </r>
  <r>
    <s v="CSKU02008_2EK"/>
    <x v="1"/>
    <x v="1"/>
    <x v="0"/>
    <x v="5"/>
    <x v="4"/>
    <x v="6"/>
    <x v="31"/>
    <x v="0"/>
    <x v="5"/>
    <x v="0"/>
    <n v="22780"/>
  </r>
  <r>
    <s v="CSKU02009_2EK"/>
    <x v="1"/>
    <x v="1"/>
    <x v="0"/>
    <x v="5"/>
    <x v="4"/>
    <x v="1"/>
    <x v="31"/>
    <x v="0"/>
    <x v="6"/>
    <x v="0"/>
    <n v="25030"/>
  </r>
  <r>
    <s v="CSKU02010_2EK"/>
    <x v="1"/>
    <x v="1"/>
    <x v="0"/>
    <x v="5"/>
    <x v="1"/>
    <x v="6"/>
    <x v="31"/>
    <x v="0"/>
    <x v="5"/>
    <x v="0"/>
    <n v="24190"/>
  </r>
  <r>
    <s v="CSKU02011_2EK"/>
    <x v="1"/>
    <x v="1"/>
    <x v="0"/>
    <x v="5"/>
    <x v="1"/>
    <x v="1"/>
    <x v="31"/>
    <x v="0"/>
    <x v="6"/>
    <x v="0"/>
    <n v="27270"/>
  </r>
  <r>
    <s v="CSKU02012_2EK"/>
    <x v="1"/>
    <x v="1"/>
    <x v="0"/>
    <x v="4"/>
    <x v="4"/>
    <x v="6"/>
    <x v="31"/>
    <x v="0"/>
    <x v="5"/>
    <x v="0"/>
    <n v="25020"/>
  </r>
  <r>
    <s v="CSKU02013_2EK"/>
    <x v="1"/>
    <x v="1"/>
    <x v="0"/>
    <x v="4"/>
    <x v="4"/>
    <x v="1"/>
    <x v="31"/>
    <x v="0"/>
    <x v="6"/>
    <x v="0"/>
    <n v="27450"/>
  </r>
  <r>
    <s v="CSKU02014_2EK"/>
    <x v="1"/>
    <x v="1"/>
    <x v="0"/>
    <x v="4"/>
    <x v="1"/>
    <x v="6"/>
    <x v="31"/>
    <x v="0"/>
    <x v="5"/>
    <x v="0"/>
    <n v="26610"/>
  </r>
  <r>
    <s v="CSKU02015_2EK"/>
    <x v="1"/>
    <x v="1"/>
    <x v="0"/>
    <x v="4"/>
    <x v="1"/>
    <x v="1"/>
    <x v="31"/>
    <x v="0"/>
    <x v="6"/>
    <x v="0"/>
    <n v="29880"/>
  </r>
  <r>
    <s v="CSKU02016_2EK"/>
    <x v="1"/>
    <x v="1"/>
    <x v="1"/>
    <x v="1"/>
    <x v="4"/>
    <x v="6"/>
    <x v="31"/>
    <x v="1"/>
    <x v="5"/>
    <x v="0"/>
    <n v="20860"/>
  </r>
  <r>
    <s v="CSKU02017_2EK"/>
    <x v="1"/>
    <x v="1"/>
    <x v="1"/>
    <x v="1"/>
    <x v="4"/>
    <x v="1"/>
    <x v="31"/>
    <x v="1"/>
    <x v="6"/>
    <x v="0"/>
    <n v="23140"/>
  </r>
  <r>
    <s v="CSKU02018_2EK"/>
    <x v="1"/>
    <x v="1"/>
    <x v="1"/>
    <x v="1"/>
    <x v="1"/>
    <x v="6"/>
    <x v="31"/>
    <x v="1"/>
    <x v="5"/>
    <x v="0"/>
    <n v="22570"/>
  </r>
  <r>
    <s v="CSKU02019_2EK"/>
    <x v="1"/>
    <x v="1"/>
    <x v="1"/>
    <x v="1"/>
    <x v="1"/>
    <x v="1"/>
    <x v="31"/>
    <x v="1"/>
    <x v="6"/>
    <x v="0"/>
    <n v="25190"/>
  </r>
  <r>
    <s v="CSKU02020_2EK"/>
    <x v="1"/>
    <x v="1"/>
    <x v="1"/>
    <x v="5"/>
    <x v="4"/>
    <x v="6"/>
    <x v="31"/>
    <x v="1"/>
    <x v="5"/>
    <x v="0"/>
    <n v="23870"/>
  </r>
  <r>
    <s v="CSKU02021_2EK"/>
    <x v="1"/>
    <x v="1"/>
    <x v="1"/>
    <x v="5"/>
    <x v="4"/>
    <x v="1"/>
    <x v="31"/>
    <x v="1"/>
    <x v="6"/>
    <x v="0"/>
    <n v="26390"/>
  </r>
  <r>
    <s v="CSKU02022_2EK"/>
    <x v="1"/>
    <x v="1"/>
    <x v="1"/>
    <x v="5"/>
    <x v="1"/>
    <x v="6"/>
    <x v="31"/>
    <x v="1"/>
    <x v="5"/>
    <x v="0"/>
    <n v="25300"/>
  </r>
  <r>
    <s v="CSKU02023_2EK"/>
    <x v="1"/>
    <x v="1"/>
    <x v="1"/>
    <x v="5"/>
    <x v="1"/>
    <x v="1"/>
    <x v="31"/>
    <x v="1"/>
    <x v="6"/>
    <x v="0"/>
    <n v="28760"/>
  </r>
  <r>
    <s v="CSKU02024_2EK"/>
    <x v="1"/>
    <x v="1"/>
    <x v="1"/>
    <x v="4"/>
    <x v="4"/>
    <x v="6"/>
    <x v="31"/>
    <x v="1"/>
    <x v="5"/>
    <x v="0"/>
    <n v="26180"/>
  </r>
  <r>
    <s v="CSKU02025_2EK"/>
    <x v="1"/>
    <x v="1"/>
    <x v="1"/>
    <x v="4"/>
    <x v="4"/>
    <x v="1"/>
    <x v="31"/>
    <x v="1"/>
    <x v="6"/>
    <x v="0"/>
    <n v="28890"/>
  </r>
  <r>
    <s v="CSKU02026_2EK"/>
    <x v="1"/>
    <x v="1"/>
    <x v="1"/>
    <x v="4"/>
    <x v="1"/>
    <x v="6"/>
    <x v="31"/>
    <x v="1"/>
    <x v="5"/>
    <x v="0"/>
    <n v="27800"/>
  </r>
  <r>
    <s v="CSKU02027_2EK"/>
    <x v="1"/>
    <x v="1"/>
    <x v="1"/>
    <x v="4"/>
    <x v="1"/>
    <x v="1"/>
    <x v="31"/>
    <x v="1"/>
    <x v="6"/>
    <x v="0"/>
    <n v="31430"/>
  </r>
  <r>
    <s v="CSKU02283_2EK"/>
    <x v="1"/>
    <x v="1"/>
    <x v="0"/>
    <x v="4"/>
    <x v="4"/>
    <x v="1"/>
    <x v="29"/>
    <x v="0"/>
    <x v="6"/>
    <x v="0"/>
    <n v="12060"/>
  </r>
  <r>
    <s v="CSKU02284_2EK"/>
    <x v="1"/>
    <x v="1"/>
    <x v="0"/>
    <x v="4"/>
    <x v="1"/>
    <x v="6"/>
    <x v="29"/>
    <x v="0"/>
    <x v="5"/>
    <x v="0"/>
    <n v="9850"/>
  </r>
  <r>
    <s v="CSKU02285_2EK"/>
    <x v="1"/>
    <x v="1"/>
    <x v="0"/>
    <x v="4"/>
    <x v="1"/>
    <x v="1"/>
    <x v="29"/>
    <x v="0"/>
    <x v="6"/>
    <x v="0"/>
    <n v="13120"/>
  </r>
  <r>
    <s v="CSKU02286_2EK"/>
    <x v="1"/>
    <x v="1"/>
    <x v="1"/>
    <x v="1"/>
    <x v="4"/>
    <x v="6"/>
    <x v="29"/>
    <x v="1"/>
    <x v="5"/>
    <x v="0"/>
    <n v="9540"/>
  </r>
  <r>
    <s v="CSKU02287_2EK"/>
    <x v="1"/>
    <x v="1"/>
    <x v="1"/>
    <x v="1"/>
    <x v="4"/>
    <x v="1"/>
    <x v="29"/>
    <x v="1"/>
    <x v="6"/>
    <x v="0"/>
    <n v="11820"/>
  </r>
  <r>
    <s v="CSKU02288_2EK"/>
    <x v="1"/>
    <x v="1"/>
    <x v="1"/>
    <x v="1"/>
    <x v="1"/>
    <x v="6"/>
    <x v="29"/>
    <x v="1"/>
    <x v="5"/>
    <x v="0"/>
    <n v="10200"/>
  </r>
  <r>
    <s v="CSKU02289_2EK"/>
    <x v="1"/>
    <x v="1"/>
    <x v="1"/>
    <x v="1"/>
    <x v="1"/>
    <x v="1"/>
    <x v="29"/>
    <x v="1"/>
    <x v="6"/>
    <x v="0"/>
    <n v="12820"/>
  </r>
  <r>
    <s v="CSKU02290_2EK"/>
    <x v="1"/>
    <x v="1"/>
    <x v="1"/>
    <x v="5"/>
    <x v="4"/>
    <x v="6"/>
    <x v="29"/>
    <x v="1"/>
    <x v="5"/>
    <x v="0"/>
    <n v="10140"/>
  </r>
  <r>
    <s v="CSKU02291_2EK"/>
    <x v="1"/>
    <x v="1"/>
    <x v="1"/>
    <x v="5"/>
    <x v="4"/>
    <x v="1"/>
    <x v="29"/>
    <x v="1"/>
    <x v="6"/>
    <x v="0"/>
    <n v="12660"/>
  </r>
  <r>
    <s v="CSKU02292_2EK"/>
    <x v="1"/>
    <x v="1"/>
    <x v="1"/>
    <x v="5"/>
    <x v="1"/>
    <x v="6"/>
    <x v="29"/>
    <x v="1"/>
    <x v="5"/>
    <x v="0"/>
    <n v="10380"/>
  </r>
  <r>
    <s v="CSKU02293_2EK"/>
    <x v="1"/>
    <x v="1"/>
    <x v="1"/>
    <x v="5"/>
    <x v="1"/>
    <x v="1"/>
    <x v="29"/>
    <x v="1"/>
    <x v="6"/>
    <x v="0"/>
    <n v="13840"/>
  </r>
  <r>
    <s v="CSKU02294_2EK"/>
    <x v="1"/>
    <x v="1"/>
    <x v="1"/>
    <x v="4"/>
    <x v="4"/>
    <x v="6"/>
    <x v="29"/>
    <x v="1"/>
    <x v="5"/>
    <x v="0"/>
    <n v="10790"/>
  </r>
  <r>
    <s v="CSKU01914_2EK"/>
    <x v="1"/>
    <x v="1"/>
    <x v="0"/>
    <x v="1"/>
    <x v="4"/>
    <x v="6"/>
    <x v="30"/>
    <x v="0"/>
    <x v="5"/>
    <x v="0"/>
    <n v="19840"/>
  </r>
  <r>
    <s v="CSKU02295_2EK"/>
    <x v="1"/>
    <x v="1"/>
    <x v="1"/>
    <x v="4"/>
    <x v="4"/>
    <x v="1"/>
    <x v="29"/>
    <x v="1"/>
    <x v="6"/>
    <x v="0"/>
    <n v="13500"/>
  </r>
  <r>
    <s v="CSKU02729_3EK"/>
    <x v="1"/>
    <x v="0"/>
    <x v="0"/>
    <x v="6"/>
    <x v="1"/>
    <x v="6"/>
    <x v="12"/>
    <x v="0"/>
    <x v="7"/>
    <x v="0"/>
    <n v="34740"/>
  </r>
  <r>
    <s v="CSKU02730_3EK"/>
    <x v="1"/>
    <x v="0"/>
    <x v="0"/>
    <x v="6"/>
    <x v="1"/>
    <x v="1"/>
    <x v="12"/>
    <x v="0"/>
    <x v="8"/>
    <x v="0"/>
    <n v="38730"/>
  </r>
  <r>
    <s v="CSKU02731_3EK"/>
    <x v="1"/>
    <x v="0"/>
    <x v="0"/>
    <x v="2"/>
    <x v="4"/>
    <x v="6"/>
    <x v="12"/>
    <x v="0"/>
    <x v="7"/>
    <x v="0"/>
    <n v="37390"/>
  </r>
  <r>
    <s v="CSKU02732_3EK"/>
    <x v="1"/>
    <x v="0"/>
    <x v="0"/>
    <x v="2"/>
    <x v="4"/>
    <x v="1"/>
    <x v="12"/>
    <x v="0"/>
    <x v="8"/>
    <x v="0"/>
    <n v="40400"/>
  </r>
  <r>
    <s v="CSKU01644_2EK"/>
    <x v="1"/>
    <x v="1"/>
    <x v="0"/>
    <x v="1"/>
    <x v="4"/>
    <x v="6"/>
    <x v="32"/>
    <x v="0"/>
    <x v="5"/>
    <x v="0"/>
    <n v="19840"/>
  </r>
  <r>
    <s v="CSKU01645_2EK"/>
    <x v="1"/>
    <x v="1"/>
    <x v="0"/>
    <x v="1"/>
    <x v="4"/>
    <x v="1"/>
    <x v="32"/>
    <x v="0"/>
    <x v="6"/>
    <x v="0"/>
    <n v="21880"/>
  </r>
  <r>
    <s v="CSKU01743_2EK"/>
    <x v="1"/>
    <x v="1"/>
    <x v="0"/>
    <x v="4"/>
    <x v="4"/>
    <x v="1"/>
    <x v="10"/>
    <x v="0"/>
    <x v="6"/>
    <x v="0"/>
    <n v="27450"/>
  </r>
  <r>
    <s v="CSKU01744_2EK"/>
    <x v="1"/>
    <x v="1"/>
    <x v="0"/>
    <x v="4"/>
    <x v="1"/>
    <x v="6"/>
    <x v="10"/>
    <x v="0"/>
    <x v="5"/>
    <x v="0"/>
    <n v="26610"/>
  </r>
  <r>
    <s v="CSKU01745_2EK"/>
    <x v="1"/>
    <x v="1"/>
    <x v="0"/>
    <x v="4"/>
    <x v="1"/>
    <x v="1"/>
    <x v="10"/>
    <x v="0"/>
    <x v="6"/>
    <x v="0"/>
    <n v="29880"/>
  </r>
  <r>
    <s v="CSKU01746_2EK"/>
    <x v="1"/>
    <x v="1"/>
    <x v="1"/>
    <x v="1"/>
    <x v="4"/>
    <x v="6"/>
    <x v="10"/>
    <x v="1"/>
    <x v="5"/>
    <x v="0"/>
    <n v="20860"/>
  </r>
  <r>
    <s v="CSKU01747_2EK"/>
    <x v="1"/>
    <x v="1"/>
    <x v="1"/>
    <x v="1"/>
    <x v="4"/>
    <x v="1"/>
    <x v="10"/>
    <x v="1"/>
    <x v="6"/>
    <x v="0"/>
    <n v="23140"/>
  </r>
  <r>
    <s v="CSKU01748_2EK"/>
    <x v="1"/>
    <x v="1"/>
    <x v="1"/>
    <x v="1"/>
    <x v="1"/>
    <x v="6"/>
    <x v="10"/>
    <x v="1"/>
    <x v="5"/>
    <x v="0"/>
    <n v="22570"/>
  </r>
  <r>
    <s v="CSKU01749_2EK"/>
    <x v="1"/>
    <x v="1"/>
    <x v="1"/>
    <x v="1"/>
    <x v="1"/>
    <x v="1"/>
    <x v="10"/>
    <x v="1"/>
    <x v="6"/>
    <x v="0"/>
    <n v="25190"/>
  </r>
  <r>
    <s v="CSKU01750_2EK"/>
    <x v="1"/>
    <x v="1"/>
    <x v="1"/>
    <x v="5"/>
    <x v="4"/>
    <x v="6"/>
    <x v="10"/>
    <x v="1"/>
    <x v="5"/>
    <x v="0"/>
    <n v="23870"/>
  </r>
  <r>
    <s v="CSKU01751_2EK"/>
    <x v="1"/>
    <x v="1"/>
    <x v="1"/>
    <x v="5"/>
    <x v="4"/>
    <x v="1"/>
    <x v="10"/>
    <x v="1"/>
    <x v="6"/>
    <x v="0"/>
    <n v="26390"/>
  </r>
  <r>
    <s v="CSKU01752_2EK"/>
    <x v="1"/>
    <x v="1"/>
    <x v="1"/>
    <x v="5"/>
    <x v="1"/>
    <x v="6"/>
    <x v="10"/>
    <x v="1"/>
    <x v="5"/>
    <x v="0"/>
    <n v="25300"/>
  </r>
  <r>
    <s v="CSKU01753_2EK"/>
    <x v="1"/>
    <x v="1"/>
    <x v="1"/>
    <x v="5"/>
    <x v="1"/>
    <x v="1"/>
    <x v="10"/>
    <x v="1"/>
    <x v="6"/>
    <x v="0"/>
    <n v="28760"/>
  </r>
  <r>
    <s v="CSKU01754_2EK"/>
    <x v="1"/>
    <x v="1"/>
    <x v="1"/>
    <x v="4"/>
    <x v="4"/>
    <x v="6"/>
    <x v="10"/>
    <x v="1"/>
    <x v="5"/>
    <x v="0"/>
    <n v="26180"/>
  </r>
  <r>
    <s v="CSKU01915_2EK"/>
    <x v="1"/>
    <x v="1"/>
    <x v="0"/>
    <x v="1"/>
    <x v="4"/>
    <x v="1"/>
    <x v="30"/>
    <x v="0"/>
    <x v="6"/>
    <x v="0"/>
    <n v="21880"/>
  </r>
  <r>
    <s v="CSKU01916_2EK"/>
    <x v="1"/>
    <x v="1"/>
    <x v="0"/>
    <x v="1"/>
    <x v="1"/>
    <x v="6"/>
    <x v="30"/>
    <x v="0"/>
    <x v="5"/>
    <x v="0"/>
    <n v="21470"/>
  </r>
  <r>
    <s v="CSKU01917_2EK"/>
    <x v="1"/>
    <x v="1"/>
    <x v="0"/>
    <x v="1"/>
    <x v="1"/>
    <x v="1"/>
    <x v="30"/>
    <x v="0"/>
    <x v="6"/>
    <x v="0"/>
    <n v="23830"/>
  </r>
  <r>
    <s v="CSKU01918_2EK"/>
    <x v="1"/>
    <x v="1"/>
    <x v="0"/>
    <x v="5"/>
    <x v="4"/>
    <x v="6"/>
    <x v="30"/>
    <x v="0"/>
    <x v="5"/>
    <x v="0"/>
    <n v="22780"/>
  </r>
  <r>
    <s v="CSKU01919_2EK"/>
    <x v="1"/>
    <x v="1"/>
    <x v="0"/>
    <x v="5"/>
    <x v="4"/>
    <x v="1"/>
    <x v="30"/>
    <x v="0"/>
    <x v="6"/>
    <x v="0"/>
    <n v="25030"/>
  </r>
  <r>
    <s v="CSKU01920_2EK"/>
    <x v="1"/>
    <x v="1"/>
    <x v="0"/>
    <x v="5"/>
    <x v="1"/>
    <x v="6"/>
    <x v="30"/>
    <x v="0"/>
    <x v="5"/>
    <x v="0"/>
    <n v="24190"/>
  </r>
  <r>
    <s v="CSKU01921_2EK"/>
    <x v="1"/>
    <x v="1"/>
    <x v="0"/>
    <x v="5"/>
    <x v="1"/>
    <x v="1"/>
    <x v="30"/>
    <x v="0"/>
    <x v="6"/>
    <x v="0"/>
    <n v="27270"/>
  </r>
  <r>
    <s v="CSKU01922_2EK"/>
    <x v="1"/>
    <x v="1"/>
    <x v="0"/>
    <x v="4"/>
    <x v="4"/>
    <x v="6"/>
    <x v="30"/>
    <x v="0"/>
    <x v="5"/>
    <x v="0"/>
    <n v="25020"/>
  </r>
  <r>
    <s v="CSKU01923_2EK"/>
    <x v="1"/>
    <x v="1"/>
    <x v="0"/>
    <x v="4"/>
    <x v="4"/>
    <x v="1"/>
    <x v="30"/>
    <x v="0"/>
    <x v="6"/>
    <x v="0"/>
    <n v="27450"/>
  </r>
  <r>
    <s v="CSKU01924_2EK"/>
    <x v="1"/>
    <x v="1"/>
    <x v="0"/>
    <x v="4"/>
    <x v="1"/>
    <x v="6"/>
    <x v="30"/>
    <x v="0"/>
    <x v="5"/>
    <x v="0"/>
    <n v="26610"/>
  </r>
  <r>
    <s v="CSKU01925_2EK"/>
    <x v="1"/>
    <x v="1"/>
    <x v="0"/>
    <x v="4"/>
    <x v="1"/>
    <x v="1"/>
    <x v="30"/>
    <x v="0"/>
    <x v="6"/>
    <x v="0"/>
    <n v="29880"/>
  </r>
  <r>
    <s v="CSKU01926_2EK"/>
    <x v="1"/>
    <x v="1"/>
    <x v="1"/>
    <x v="1"/>
    <x v="4"/>
    <x v="6"/>
    <x v="30"/>
    <x v="1"/>
    <x v="5"/>
    <x v="0"/>
    <n v="20860"/>
  </r>
  <r>
    <s v="CSKU02296_2EK"/>
    <x v="1"/>
    <x v="1"/>
    <x v="1"/>
    <x v="4"/>
    <x v="1"/>
    <x v="6"/>
    <x v="29"/>
    <x v="1"/>
    <x v="5"/>
    <x v="0"/>
    <n v="11040"/>
  </r>
  <r>
    <s v="CSKU02297_2EK"/>
    <x v="1"/>
    <x v="1"/>
    <x v="1"/>
    <x v="4"/>
    <x v="1"/>
    <x v="1"/>
    <x v="29"/>
    <x v="1"/>
    <x v="6"/>
    <x v="0"/>
    <n v="14670"/>
  </r>
  <r>
    <s v="CSKU01646_2EK"/>
    <x v="1"/>
    <x v="1"/>
    <x v="0"/>
    <x v="1"/>
    <x v="1"/>
    <x v="6"/>
    <x v="32"/>
    <x v="0"/>
    <x v="5"/>
    <x v="0"/>
    <n v="21470"/>
  </r>
  <r>
    <s v="CSKU01755_2EK"/>
    <x v="1"/>
    <x v="1"/>
    <x v="1"/>
    <x v="4"/>
    <x v="4"/>
    <x v="1"/>
    <x v="10"/>
    <x v="1"/>
    <x v="6"/>
    <x v="0"/>
    <n v="28890"/>
  </r>
  <r>
    <s v="CSKU01927_2EK"/>
    <x v="1"/>
    <x v="1"/>
    <x v="1"/>
    <x v="1"/>
    <x v="4"/>
    <x v="1"/>
    <x v="30"/>
    <x v="1"/>
    <x v="6"/>
    <x v="0"/>
    <n v="23140"/>
  </r>
  <r>
    <s v="CSKU01647_2EK"/>
    <x v="1"/>
    <x v="1"/>
    <x v="0"/>
    <x v="1"/>
    <x v="1"/>
    <x v="1"/>
    <x v="32"/>
    <x v="0"/>
    <x v="6"/>
    <x v="0"/>
    <n v="23830"/>
  </r>
  <r>
    <s v="CSKU01648_2EK"/>
    <x v="1"/>
    <x v="1"/>
    <x v="0"/>
    <x v="5"/>
    <x v="4"/>
    <x v="6"/>
    <x v="32"/>
    <x v="0"/>
    <x v="5"/>
    <x v="0"/>
    <n v="22780"/>
  </r>
  <r>
    <s v="CSKU01649_2EK"/>
    <x v="1"/>
    <x v="1"/>
    <x v="0"/>
    <x v="5"/>
    <x v="4"/>
    <x v="1"/>
    <x v="32"/>
    <x v="0"/>
    <x v="6"/>
    <x v="0"/>
    <n v="25030"/>
  </r>
  <r>
    <s v="CSKU01650_2EK"/>
    <x v="1"/>
    <x v="1"/>
    <x v="0"/>
    <x v="5"/>
    <x v="1"/>
    <x v="6"/>
    <x v="32"/>
    <x v="0"/>
    <x v="5"/>
    <x v="0"/>
    <n v="24190"/>
  </r>
  <r>
    <s v="CSKU01651_2EK"/>
    <x v="1"/>
    <x v="1"/>
    <x v="0"/>
    <x v="5"/>
    <x v="1"/>
    <x v="1"/>
    <x v="32"/>
    <x v="0"/>
    <x v="6"/>
    <x v="0"/>
    <n v="27270"/>
  </r>
  <r>
    <s v="CSKU01652_2EK"/>
    <x v="1"/>
    <x v="1"/>
    <x v="0"/>
    <x v="4"/>
    <x v="4"/>
    <x v="6"/>
    <x v="32"/>
    <x v="0"/>
    <x v="5"/>
    <x v="0"/>
    <n v="25020"/>
  </r>
  <r>
    <s v="CSKU01653_2EK"/>
    <x v="1"/>
    <x v="1"/>
    <x v="0"/>
    <x v="4"/>
    <x v="4"/>
    <x v="1"/>
    <x v="32"/>
    <x v="0"/>
    <x v="6"/>
    <x v="0"/>
    <n v="27450"/>
  </r>
  <r>
    <s v="CSKU01654_2EK"/>
    <x v="1"/>
    <x v="1"/>
    <x v="0"/>
    <x v="4"/>
    <x v="1"/>
    <x v="6"/>
    <x v="32"/>
    <x v="0"/>
    <x v="5"/>
    <x v="0"/>
    <n v="26610"/>
  </r>
  <r>
    <s v="CSKU01655_2EK"/>
    <x v="1"/>
    <x v="1"/>
    <x v="0"/>
    <x v="4"/>
    <x v="1"/>
    <x v="1"/>
    <x v="32"/>
    <x v="0"/>
    <x v="6"/>
    <x v="0"/>
    <n v="29880"/>
  </r>
  <r>
    <s v="CSKU01656_2EK"/>
    <x v="1"/>
    <x v="1"/>
    <x v="1"/>
    <x v="1"/>
    <x v="4"/>
    <x v="6"/>
    <x v="32"/>
    <x v="1"/>
    <x v="5"/>
    <x v="0"/>
    <n v="20860"/>
  </r>
  <r>
    <s v="CSKU01112_2EK"/>
    <x v="1"/>
    <x v="1"/>
    <x v="0"/>
    <x v="4"/>
    <x v="4"/>
    <x v="6"/>
    <x v="9"/>
    <x v="0"/>
    <x v="5"/>
    <x v="0"/>
    <n v="25020"/>
  </r>
  <r>
    <s v="CSKU01113_2EK"/>
    <x v="1"/>
    <x v="1"/>
    <x v="0"/>
    <x v="4"/>
    <x v="4"/>
    <x v="1"/>
    <x v="9"/>
    <x v="0"/>
    <x v="6"/>
    <x v="0"/>
    <n v="27450"/>
  </r>
  <r>
    <s v="CSKU01114_2EK"/>
    <x v="1"/>
    <x v="1"/>
    <x v="0"/>
    <x v="4"/>
    <x v="1"/>
    <x v="6"/>
    <x v="9"/>
    <x v="0"/>
    <x v="5"/>
    <x v="0"/>
    <n v="26610"/>
  </r>
  <r>
    <s v="CSKU01115_2EK"/>
    <x v="1"/>
    <x v="1"/>
    <x v="0"/>
    <x v="4"/>
    <x v="1"/>
    <x v="1"/>
    <x v="9"/>
    <x v="0"/>
    <x v="6"/>
    <x v="0"/>
    <n v="29880"/>
  </r>
  <r>
    <s v="CSKU01116_2EK"/>
    <x v="1"/>
    <x v="1"/>
    <x v="1"/>
    <x v="1"/>
    <x v="4"/>
    <x v="6"/>
    <x v="9"/>
    <x v="1"/>
    <x v="5"/>
    <x v="0"/>
    <n v="20860"/>
  </r>
  <r>
    <s v="CSKU01117_2EK"/>
    <x v="1"/>
    <x v="1"/>
    <x v="1"/>
    <x v="1"/>
    <x v="4"/>
    <x v="1"/>
    <x v="9"/>
    <x v="1"/>
    <x v="6"/>
    <x v="0"/>
    <n v="23140"/>
  </r>
  <r>
    <s v="CSKU01118_2EK"/>
    <x v="1"/>
    <x v="1"/>
    <x v="1"/>
    <x v="1"/>
    <x v="1"/>
    <x v="6"/>
    <x v="9"/>
    <x v="1"/>
    <x v="5"/>
    <x v="0"/>
    <n v="22570"/>
  </r>
  <r>
    <s v="CSKU01119_2EK"/>
    <x v="1"/>
    <x v="1"/>
    <x v="1"/>
    <x v="1"/>
    <x v="1"/>
    <x v="1"/>
    <x v="9"/>
    <x v="1"/>
    <x v="6"/>
    <x v="0"/>
    <n v="25190"/>
  </r>
  <r>
    <s v="CSKU01120_2EK"/>
    <x v="1"/>
    <x v="1"/>
    <x v="1"/>
    <x v="5"/>
    <x v="4"/>
    <x v="6"/>
    <x v="9"/>
    <x v="1"/>
    <x v="5"/>
    <x v="0"/>
    <n v="23870"/>
  </r>
  <r>
    <s v="CSKU01121_2EK"/>
    <x v="1"/>
    <x v="1"/>
    <x v="1"/>
    <x v="5"/>
    <x v="4"/>
    <x v="1"/>
    <x v="9"/>
    <x v="1"/>
    <x v="6"/>
    <x v="0"/>
    <n v="26390"/>
  </r>
  <r>
    <s v="CSKU01122_2EK"/>
    <x v="1"/>
    <x v="1"/>
    <x v="1"/>
    <x v="5"/>
    <x v="1"/>
    <x v="6"/>
    <x v="9"/>
    <x v="1"/>
    <x v="5"/>
    <x v="0"/>
    <n v="25300"/>
  </r>
  <r>
    <s v="CSKU01756_2EK"/>
    <x v="1"/>
    <x v="1"/>
    <x v="1"/>
    <x v="4"/>
    <x v="1"/>
    <x v="6"/>
    <x v="10"/>
    <x v="1"/>
    <x v="5"/>
    <x v="0"/>
    <n v="27800"/>
  </r>
  <r>
    <s v="CSKU01757_2EK"/>
    <x v="1"/>
    <x v="1"/>
    <x v="1"/>
    <x v="4"/>
    <x v="1"/>
    <x v="1"/>
    <x v="10"/>
    <x v="1"/>
    <x v="6"/>
    <x v="0"/>
    <n v="31430"/>
  </r>
  <r>
    <s v="CSKU01568_2EK"/>
    <x v="1"/>
    <x v="1"/>
    <x v="1"/>
    <x v="1"/>
    <x v="1"/>
    <x v="6"/>
    <x v="33"/>
    <x v="1"/>
    <x v="5"/>
    <x v="0"/>
    <n v="22570"/>
  </r>
  <r>
    <s v="CSKU01569_2EK"/>
    <x v="1"/>
    <x v="1"/>
    <x v="1"/>
    <x v="1"/>
    <x v="1"/>
    <x v="1"/>
    <x v="33"/>
    <x v="1"/>
    <x v="6"/>
    <x v="0"/>
    <n v="25190"/>
  </r>
  <r>
    <s v="CSKU01657_2EK"/>
    <x v="1"/>
    <x v="1"/>
    <x v="1"/>
    <x v="1"/>
    <x v="4"/>
    <x v="1"/>
    <x v="32"/>
    <x v="1"/>
    <x v="6"/>
    <x v="0"/>
    <n v="23140"/>
  </r>
  <r>
    <s v="CSKU01928_2EK"/>
    <x v="1"/>
    <x v="1"/>
    <x v="1"/>
    <x v="1"/>
    <x v="1"/>
    <x v="6"/>
    <x v="30"/>
    <x v="1"/>
    <x v="5"/>
    <x v="0"/>
    <n v="22570"/>
  </r>
  <r>
    <s v="CSKU01929_2EK"/>
    <x v="1"/>
    <x v="1"/>
    <x v="1"/>
    <x v="1"/>
    <x v="1"/>
    <x v="1"/>
    <x v="30"/>
    <x v="1"/>
    <x v="6"/>
    <x v="0"/>
    <n v="25190"/>
  </r>
  <r>
    <s v="CSKU01930_2EK"/>
    <x v="1"/>
    <x v="1"/>
    <x v="1"/>
    <x v="5"/>
    <x v="4"/>
    <x v="6"/>
    <x v="30"/>
    <x v="1"/>
    <x v="5"/>
    <x v="0"/>
    <n v="23870"/>
  </r>
  <r>
    <s v="CSKU01931_2EK"/>
    <x v="1"/>
    <x v="1"/>
    <x v="1"/>
    <x v="5"/>
    <x v="4"/>
    <x v="1"/>
    <x v="30"/>
    <x v="1"/>
    <x v="6"/>
    <x v="0"/>
    <n v="26390"/>
  </r>
  <r>
    <s v="CSKU01932_2EK"/>
    <x v="1"/>
    <x v="1"/>
    <x v="1"/>
    <x v="5"/>
    <x v="1"/>
    <x v="6"/>
    <x v="30"/>
    <x v="1"/>
    <x v="5"/>
    <x v="0"/>
    <n v="25300"/>
  </r>
  <r>
    <s v="CSKU01933_2EK"/>
    <x v="1"/>
    <x v="1"/>
    <x v="1"/>
    <x v="5"/>
    <x v="1"/>
    <x v="1"/>
    <x v="30"/>
    <x v="1"/>
    <x v="6"/>
    <x v="0"/>
    <n v="28760"/>
  </r>
  <r>
    <s v="CSKU01934_2EK"/>
    <x v="1"/>
    <x v="1"/>
    <x v="1"/>
    <x v="4"/>
    <x v="4"/>
    <x v="6"/>
    <x v="30"/>
    <x v="1"/>
    <x v="5"/>
    <x v="0"/>
    <n v="26180"/>
  </r>
  <r>
    <s v="CSKU01935_2EK"/>
    <x v="1"/>
    <x v="1"/>
    <x v="1"/>
    <x v="4"/>
    <x v="4"/>
    <x v="1"/>
    <x v="30"/>
    <x v="1"/>
    <x v="6"/>
    <x v="0"/>
    <n v="28890"/>
  </r>
  <r>
    <s v="CSKU01658_2EK"/>
    <x v="1"/>
    <x v="1"/>
    <x v="1"/>
    <x v="1"/>
    <x v="1"/>
    <x v="6"/>
    <x v="32"/>
    <x v="1"/>
    <x v="5"/>
    <x v="0"/>
    <n v="22570"/>
  </r>
  <r>
    <s v="CSKU01659_2EK"/>
    <x v="1"/>
    <x v="1"/>
    <x v="1"/>
    <x v="1"/>
    <x v="1"/>
    <x v="1"/>
    <x v="32"/>
    <x v="1"/>
    <x v="6"/>
    <x v="0"/>
    <n v="25190"/>
  </r>
  <r>
    <s v="CSKU01660_2EK"/>
    <x v="1"/>
    <x v="1"/>
    <x v="1"/>
    <x v="5"/>
    <x v="4"/>
    <x v="6"/>
    <x v="32"/>
    <x v="1"/>
    <x v="5"/>
    <x v="0"/>
    <n v="23870"/>
  </r>
  <r>
    <s v="CSKU01661_2EK"/>
    <x v="1"/>
    <x v="1"/>
    <x v="1"/>
    <x v="5"/>
    <x v="4"/>
    <x v="1"/>
    <x v="32"/>
    <x v="1"/>
    <x v="6"/>
    <x v="0"/>
    <n v="26390"/>
  </r>
  <r>
    <s v="CSKU01662_2EK"/>
    <x v="1"/>
    <x v="1"/>
    <x v="1"/>
    <x v="5"/>
    <x v="1"/>
    <x v="6"/>
    <x v="32"/>
    <x v="1"/>
    <x v="5"/>
    <x v="0"/>
    <n v="25300"/>
  </r>
  <r>
    <s v="CSKU01663_2EK"/>
    <x v="1"/>
    <x v="1"/>
    <x v="1"/>
    <x v="5"/>
    <x v="1"/>
    <x v="1"/>
    <x v="32"/>
    <x v="1"/>
    <x v="6"/>
    <x v="0"/>
    <n v="28760"/>
  </r>
  <r>
    <s v="CSKU01664_2EK"/>
    <x v="1"/>
    <x v="1"/>
    <x v="1"/>
    <x v="4"/>
    <x v="4"/>
    <x v="6"/>
    <x v="32"/>
    <x v="1"/>
    <x v="5"/>
    <x v="0"/>
    <n v="26180"/>
  </r>
  <r>
    <s v="CSKU01665_2EK"/>
    <x v="1"/>
    <x v="1"/>
    <x v="1"/>
    <x v="4"/>
    <x v="4"/>
    <x v="1"/>
    <x v="32"/>
    <x v="1"/>
    <x v="6"/>
    <x v="0"/>
    <n v="28890"/>
  </r>
  <r>
    <s v="CSKU01666_2EK"/>
    <x v="1"/>
    <x v="1"/>
    <x v="1"/>
    <x v="4"/>
    <x v="1"/>
    <x v="6"/>
    <x v="32"/>
    <x v="1"/>
    <x v="5"/>
    <x v="0"/>
    <n v="27800"/>
  </r>
  <r>
    <s v="CSKU01667_2EK"/>
    <x v="1"/>
    <x v="1"/>
    <x v="1"/>
    <x v="4"/>
    <x v="1"/>
    <x v="1"/>
    <x v="32"/>
    <x v="1"/>
    <x v="6"/>
    <x v="0"/>
    <n v="31430"/>
  </r>
  <r>
    <s v="CSKU01289_2EK"/>
    <x v="1"/>
    <x v="1"/>
    <x v="0"/>
    <x v="5"/>
    <x v="4"/>
    <x v="1"/>
    <x v="34"/>
    <x v="0"/>
    <x v="6"/>
    <x v="0"/>
    <n v="25030"/>
  </r>
  <r>
    <s v="CSKU01290_2EK"/>
    <x v="1"/>
    <x v="1"/>
    <x v="0"/>
    <x v="5"/>
    <x v="1"/>
    <x v="6"/>
    <x v="34"/>
    <x v="0"/>
    <x v="5"/>
    <x v="0"/>
    <n v="24190"/>
  </r>
  <r>
    <s v="CSKU01123_2EK"/>
    <x v="1"/>
    <x v="1"/>
    <x v="1"/>
    <x v="5"/>
    <x v="1"/>
    <x v="1"/>
    <x v="9"/>
    <x v="1"/>
    <x v="6"/>
    <x v="0"/>
    <n v="28760"/>
  </r>
  <r>
    <s v="CSKU01374_2EK"/>
    <x v="1"/>
    <x v="1"/>
    <x v="0"/>
    <x v="1"/>
    <x v="4"/>
    <x v="6"/>
    <x v="35"/>
    <x v="0"/>
    <x v="5"/>
    <x v="0"/>
    <n v="19840"/>
  </r>
  <r>
    <s v="CSKU01124_2EK"/>
    <x v="1"/>
    <x v="1"/>
    <x v="1"/>
    <x v="4"/>
    <x v="4"/>
    <x v="6"/>
    <x v="9"/>
    <x v="1"/>
    <x v="5"/>
    <x v="0"/>
    <n v="26180"/>
  </r>
  <r>
    <s v="CSKU01125_2EK"/>
    <x v="1"/>
    <x v="1"/>
    <x v="1"/>
    <x v="4"/>
    <x v="4"/>
    <x v="1"/>
    <x v="9"/>
    <x v="1"/>
    <x v="6"/>
    <x v="0"/>
    <n v="28890"/>
  </r>
  <r>
    <s v="CSKU01126_2EK"/>
    <x v="1"/>
    <x v="1"/>
    <x v="1"/>
    <x v="4"/>
    <x v="1"/>
    <x v="6"/>
    <x v="9"/>
    <x v="1"/>
    <x v="5"/>
    <x v="0"/>
    <n v="27800"/>
  </r>
  <r>
    <s v="CSKU01127_2EK"/>
    <x v="1"/>
    <x v="1"/>
    <x v="1"/>
    <x v="4"/>
    <x v="1"/>
    <x v="1"/>
    <x v="9"/>
    <x v="1"/>
    <x v="6"/>
    <x v="0"/>
    <n v="31430"/>
  </r>
  <r>
    <s v="CSKU01375_2EK"/>
    <x v="1"/>
    <x v="1"/>
    <x v="0"/>
    <x v="1"/>
    <x v="4"/>
    <x v="1"/>
    <x v="35"/>
    <x v="0"/>
    <x v="6"/>
    <x v="0"/>
    <n v="21880"/>
  </r>
  <r>
    <s v="CSKU01376_2EK"/>
    <x v="1"/>
    <x v="1"/>
    <x v="0"/>
    <x v="1"/>
    <x v="1"/>
    <x v="6"/>
    <x v="35"/>
    <x v="0"/>
    <x v="5"/>
    <x v="0"/>
    <n v="21470"/>
  </r>
  <r>
    <s v="CSKU01377_2EK"/>
    <x v="1"/>
    <x v="1"/>
    <x v="0"/>
    <x v="1"/>
    <x v="1"/>
    <x v="1"/>
    <x v="35"/>
    <x v="0"/>
    <x v="6"/>
    <x v="0"/>
    <n v="23830"/>
  </r>
  <r>
    <s v="CSKU01378_2EK"/>
    <x v="1"/>
    <x v="1"/>
    <x v="0"/>
    <x v="5"/>
    <x v="4"/>
    <x v="6"/>
    <x v="35"/>
    <x v="0"/>
    <x v="5"/>
    <x v="0"/>
    <n v="22780"/>
  </r>
  <r>
    <s v="CSKU01379_2EK"/>
    <x v="1"/>
    <x v="1"/>
    <x v="0"/>
    <x v="5"/>
    <x v="4"/>
    <x v="1"/>
    <x v="35"/>
    <x v="0"/>
    <x v="6"/>
    <x v="0"/>
    <n v="25030"/>
  </r>
  <r>
    <s v="CSKU01380_2EK"/>
    <x v="1"/>
    <x v="1"/>
    <x v="0"/>
    <x v="5"/>
    <x v="1"/>
    <x v="6"/>
    <x v="35"/>
    <x v="0"/>
    <x v="5"/>
    <x v="0"/>
    <n v="24190"/>
  </r>
  <r>
    <s v="CSKU01381_2EK"/>
    <x v="1"/>
    <x v="1"/>
    <x v="0"/>
    <x v="5"/>
    <x v="1"/>
    <x v="1"/>
    <x v="35"/>
    <x v="0"/>
    <x v="6"/>
    <x v="0"/>
    <n v="27270"/>
  </r>
  <r>
    <s v="CSKU01382_2EK"/>
    <x v="1"/>
    <x v="1"/>
    <x v="0"/>
    <x v="4"/>
    <x v="4"/>
    <x v="6"/>
    <x v="35"/>
    <x v="0"/>
    <x v="5"/>
    <x v="0"/>
    <n v="25020"/>
  </r>
  <r>
    <s v="CSKU01383_2EK"/>
    <x v="1"/>
    <x v="1"/>
    <x v="0"/>
    <x v="4"/>
    <x v="4"/>
    <x v="1"/>
    <x v="35"/>
    <x v="0"/>
    <x v="6"/>
    <x v="0"/>
    <n v="27450"/>
  </r>
  <r>
    <s v="CSKU01384_2EK"/>
    <x v="1"/>
    <x v="1"/>
    <x v="0"/>
    <x v="4"/>
    <x v="1"/>
    <x v="6"/>
    <x v="35"/>
    <x v="0"/>
    <x v="5"/>
    <x v="0"/>
    <n v="26610"/>
  </r>
  <r>
    <s v="CSKU01385_2EK"/>
    <x v="1"/>
    <x v="1"/>
    <x v="0"/>
    <x v="4"/>
    <x v="1"/>
    <x v="1"/>
    <x v="35"/>
    <x v="0"/>
    <x v="6"/>
    <x v="0"/>
    <n v="29880"/>
  </r>
  <r>
    <s v="CSKU01554_2EK"/>
    <x v="1"/>
    <x v="1"/>
    <x v="0"/>
    <x v="1"/>
    <x v="4"/>
    <x v="6"/>
    <x v="33"/>
    <x v="0"/>
    <x v="5"/>
    <x v="0"/>
    <n v="19840"/>
  </r>
  <r>
    <s v="CSKU01555_2EK"/>
    <x v="1"/>
    <x v="1"/>
    <x v="0"/>
    <x v="1"/>
    <x v="4"/>
    <x v="1"/>
    <x v="33"/>
    <x v="0"/>
    <x v="6"/>
    <x v="0"/>
    <n v="21880"/>
  </r>
  <r>
    <s v="CSKU01556_2EK"/>
    <x v="1"/>
    <x v="1"/>
    <x v="0"/>
    <x v="1"/>
    <x v="1"/>
    <x v="6"/>
    <x v="33"/>
    <x v="0"/>
    <x v="5"/>
    <x v="0"/>
    <n v="21470"/>
  </r>
  <r>
    <s v="CSKU01557_2EK"/>
    <x v="1"/>
    <x v="1"/>
    <x v="0"/>
    <x v="1"/>
    <x v="1"/>
    <x v="1"/>
    <x v="33"/>
    <x v="0"/>
    <x v="6"/>
    <x v="0"/>
    <n v="23830"/>
  </r>
  <r>
    <s v="CSKU01558_2EK"/>
    <x v="1"/>
    <x v="1"/>
    <x v="0"/>
    <x v="5"/>
    <x v="4"/>
    <x v="6"/>
    <x v="33"/>
    <x v="0"/>
    <x v="5"/>
    <x v="0"/>
    <n v="22780"/>
  </r>
  <r>
    <s v="CSKU01559_2EK"/>
    <x v="1"/>
    <x v="1"/>
    <x v="0"/>
    <x v="5"/>
    <x v="4"/>
    <x v="1"/>
    <x v="33"/>
    <x v="0"/>
    <x v="6"/>
    <x v="0"/>
    <n v="25030"/>
  </r>
  <r>
    <s v="CSKU01560_2EK"/>
    <x v="1"/>
    <x v="1"/>
    <x v="0"/>
    <x v="5"/>
    <x v="1"/>
    <x v="6"/>
    <x v="33"/>
    <x v="0"/>
    <x v="5"/>
    <x v="0"/>
    <n v="24190"/>
  </r>
  <r>
    <s v="CSKU01386_2EK"/>
    <x v="1"/>
    <x v="1"/>
    <x v="1"/>
    <x v="1"/>
    <x v="4"/>
    <x v="6"/>
    <x v="35"/>
    <x v="1"/>
    <x v="5"/>
    <x v="0"/>
    <n v="20860"/>
  </r>
  <r>
    <s v="CSKU01561_2EK"/>
    <x v="1"/>
    <x v="1"/>
    <x v="0"/>
    <x v="5"/>
    <x v="1"/>
    <x v="1"/>
    <x v="33"/>
    <x v="0"/>
    <x v="6"/>
    <x v="0"/>
    <n v="27270"/>
  </r>
  <r>
    <s v="CSKU00746_2EK"/>
    <x v="1"/>
    <x v="1"/>
    <x v="0"/>
    <x v="1"/>
    <x v="1"/>
    <x v="6"/>
    <x v="8"/>
    <x v="0"/>
    <x v="5"/>
    <x v="0"/>
    <n v="21470"/>
  </r>
  <r>
    <s v="CSKU00747_2EK"/>
    <x v="1"/>
    <x v="1"/>
    <x v="0"/>
    <x v="1"/>
    <x v="1"/>
    <x v="1"/>
    <x v="8"/>
    <x v="0"/>
    <x v="6"/>
    <x v="0"/>
    <n v="23830"/>
  </r>
  <r>
    <s v="CSKU00748_2EK"/>
    <x v="1"/>
    <x v="1"/>
    <x v="0"/>
    <x v="5"/>
    <x v="4"/>
    <x v="6"/>
    <x v="8"/>
    <x v="0"/>
    <x v="5"/>
    <x v="0"/>
    <n v="22780"/>
  </r>
  <r>
    <s v="CSKU00749_2EK"/>
    <x v="1"/>
    <x v="1"/>
    <x v="0"/>
    <x v="5"/>
    <x v="4"/>
    <x v="1"/>
    <x v="8"/>
    <x v="0"/>
    <x v="6"/>
    <x v="0"/>
    <n v="25030"/>
  </r>
  <r>
    <s v="CSKU00750_2EK"/>
    <x v="1"/>
    <x v="1"/>
    <x v="0"/>
    <x v="5"/>
    <x v="1"/>
    <x v="6"/>
    <x v="8"/>
    <x v="0"/>
    <x v="5"/>
    <x v="0"/>
    <n v="24190"/>
  </r>
  <r>
    <s v="CSKU00751_2EK"/>
    <x v="1"/>
    <x v="1"/>
    <x v="0"/>
    <x v="5"/>
    <x v="1"/>
    <x v="1"/>
    <x v="8"/>
    <x v="0"/>
    <x v="6"/>
    <x v="0"/>
    <n v="27270"/>
  </r>
  <r>
    <s v="CSKU00752_2EK"/>
    <x v="1"/>
    <x v="1"/>
    <x v="0"/>
    <x v="4"/>
    <x v="4"/>
    <x v="6"/>
    <x v="8"/>
    <x v="0"/>
    <x v="5"/>
    <x v="0"/>
    <n v="25020"/>
  </r>
  <r>
    <s v="CSKU00753_2EK"/>
    <x v="1"/>
    <x v="1"/>
    <x v="0"/>
    <x v="4"/>
    <x v="4"/>
    <x v="1"/>
    <x v="8"/>
    <x v="0"/>
    <x v="6"/>
    <x v="0"/>
    <n v="27450"/>
  </r>
  <r>
    <s v="CSKU00754_2EK"/>
    <x v="1"/>
    <x v="1"/>
    <x v="0"/>
    <x v="4"/>
    <x v="1"/>
    <x v="6"/>
    <x v="8"/>
    <x v="0"/>
    <x v="5"/>
    <x v="0"/>
    <n v="26610"/>
  </r>
  <r>
    <s v="CSKU00755_2EK"/>
    <x v="1"/>
    <x v="1"/>
    <x v="0"/>
    <x v="4"/>
    <x v="1"/>
    <x v="1"/>
    <x v="8"/>
    <x v="0"/>
    <x v="6"/>
    <x v="0"/>
    <n v="29880"/>
  </r>
  <r>
    <s v="CSKU01387_2EK"/>
    <x v="1"/>
    <x v="1"/>
    <x v="1"/>
    <x v="1"/>
    <x v="4"/>
    <x v="1"/>
    <x v="35"/>
    <x v="1"/>
    <x v="6"/>
    <x v="0"/>
    <n v="23140"/>
  </r>
  <r>
    <s v="CSKU01388_2EK"/>
    <x v="1"/>
    <x v="1"/>
    <x v="1"/>
    <x v="1"/>
    <x v="1"/>
    <x v="6"/>
    <x v="35"/>
    <x v="1"/>
    <x v="5"/>
    <x v="0"/>
    <n v="22570"/>
  </r>
  <r>
    <s v="CSKU01389_2EK"/>
    <x v="1"/>
    <x v="1"/>
    <x v="1"/>
    <x v="1"/>
    <x v="1"/>
    <x v="1"/>
    <x v="35"/>
    <x v="1"/>
    <x v="6"/>
    <x v="0"/>
    <n v="25190"/>
  </r>
  <r>
    <s v="CSKU01390_2EK"/>
    <x v="1"/>
    <x v="1"/>
    <x v="1"/>
    <x v="5"/>
    <x v="4"/>
    <x v="6"/>
    <x v="35"/>
    <x v="1"/>
    <x v="5"/>
    <x v="0"/>
    <n v="23870"/>
  </r>
  <r>
    <s v="CSKU01391_2EK"/>
    <x v="1"/>
    <x v="1"/>
    <x v="1"/>
    <x v="5"/>
    <x v="4"/>
    <x v="1"/>
    <x v="35"/>
    <x v="1"/>
    <x v="6"/>
    <x v="0"/>
    <n v="26390"/>
  </r>
  <r>
    <s v="CSKU01392_2EK"/>
    <x v="1"/>
    <x v="1"/>
    <x v="1"/>
    <x v="5"/>
    <x v="1"/>
    <x v="6"/>
    <x v="35"/>
    <x v="1"/>
    <x v="5"/>
    <x v="0"/>
    <n v="25300"/>
  </r>
  <r>
    <s v="CSKU01393_2EK"/>
    <x v="1"/>
    <x v="1"/>
    <x v="1"/>
    <x v="5"/>
    <x v="1"/>
    <x v="1"/>
    <x v="35"/>
    <x v="1"/>
    <x v="6"/>
    <x v="0"/>
    <n v="28760"/>
  </r>
  <r>
    <s v="CSKU01394_2EK"/>
    <x v="1"/>
    <x v="1"/>
    <x v="1"/>
    <x v="4"/>
    <x v="4"/>
    <x v="6"/>
    <x v="35"/>
    <x v="1"/>
    <x v="5"/>
    <x v="0"/>
    <n v="26180"/>
  </r>
  <r>
    <s v="CSKU01395_2EK"/>
    <x v="1"/>
    <x v="1"/>
    <x v="1"/>
    <x v="4"/>
    <x v="4"/>
    <x v="1"/>
    <x v="35"/>
    <x v="1"/>
    <x v="6"/>
    <x v="0"/>
    <n v="28890"/>
  </r>
  <r>
    <s v="CSKU01396_2EK"/>
    <x v="1"/>
    <x v="1"/>
    <x v="1"/>
    <x v="4"/>
    <x v="1"/>
    <x v="6"/>
    <x v="35"/>
    <x v="1"/>
    <x v="5"/>
    <x v="0"/>
    <n v="27800"/>
  </r>
  <r>
    <s v="CSKU01397_2EK"/>
    <x v="1"/>
    <x v="1"/>
    <x v="1"/>
    <x v="4"/>
    <x v="1"/>
    <x v="1"/>
    <x v="35"/>
    <x v="1"/>
    <x v="6"/>
    <x v="0"/>
    <n v="31430"/>
  </r>
  <r>
    <s v="CSKU00929_2EK"/>
    <x v="1"/>
    <x v="1"/>
    <x v="0"/>
    <x v="5"/>
    <x v="4"/>
    <x v="1"/>
    <x v="36"/>
    <x v="0"/>
    <x v="6"/>
    <x v="0"/>
    <n v="25030"/>
  </r>
  <r>
    <s v="CSKU00930_2EK"/>
    <x v="1"/>
    <x v="1"/>
    <x v="0"/>
    <x v="5"/>
    <x v="1"/>
    <x v="6"/>
    <x v="36"/>
    <x v="0"/>
    <x v="5"/>
    <x v="0"/>
    <n v="24190"/>
  </r>
  <r>
    <s v="CSKU01562_2EK"/>
    <x v="1"/>
    <x v="1"/>
    <x v="0"/>
    <x v="4"/>
    <x v="4"/>
    <x v="6"/>
    <x v="33"/>
    <x v="0"/>
    <x v="5"/>
    <x v="0"/>
    <n v="25020"/>
  </r>
  <r>
    <s v="CSKU01563_2EK"/>
    <x v="1"/>
    <x v="1"/>
    <x v="0"/>
    <x v="4"/>
    <x v="4"/>
    <x v="1"/>
    <x v="33"/>
    <x v="0"/>
    <x v="6"/>
    <x v="0"/>
    <n v="27450"/>
  </r>
  <r>
    <s v="CSKU01564_2EK"/>
    <x v="1"/>
    <x v="1"/>
    <x v="0"/>
    <x v="4"/>
    <x v="1"/>
    <x v="6"/>
    <x v="33"/>
    <x v="0"/>
    <x v="5"/>
    <x v="0"/>
    <n v="26610"/>
  </r>
  <r>
    <s v="CSKU01565_2EK"/>
    <x v="1"/>
    <x v="1"/>
    <x v="0"/>
    <x v="4"/>
    <x v="1"/>
    <x v="1"/>
    <x v="33"/>
    <x v="0"/>
    <x v="6"/>
    <x v="0"/>
    <n v="29880"/>
  </r>
  <r>
    <s v="CSKU01566_2EK"/>
    <x v="1"/>
    <x v="1"/>
    <x v="1"/>
    <x v="1"/>
    <x v="4"/>
    <x v="6"/>
    <x v="33"/>
    <x v="1"/>
    <x v="5"/>
    <x v="0"/>
    <n v="20860"/>
  </r>
  <r>
    <s v="CSKU01567_2EK"/>
    <x v="1"/>
    <x v="1"/>
    <x v="1"/>
    <x v="1"/>
    <x v="4"/>
    <x v="1"/>
    <x v="33"/>
    <x v="1"/>
    <x v="6"/>
    <x v="0"/>
    <n v="23140"/>
  </r>
  <r>
    <s v="CSKU01014_2EK"/>
    <x v="1"/>
    <x v="1"/>
    <x v="0"/>
    <x v="1"/>
    <x v="4"/>
    <x v="6"/>
    <x v="37"/>
    <x v="0"/>
    <x v="5"/>
    <x v="0"/>
    <n v="19840"/>
  </r>
  <r>
    <s v="CSKU00756_2EK"/>
    <x v="1"/>
    <x v="1"/>
    <x v="1"/>
    <x v="1"/>
    <x v="4"/>
    <x v="6"/>
    <x v="8"/>
    <x v="1"/>
    <x v="5"/>
    <x v="0"/>
    <n v="20860"/>
  </r>
  <r>
    <s v="CSKU01015_2EK"/>
    <x v="1"/>
    <x v="1"/>
    <x v="0"/>
    <x v="1"/>
    <x v="4"/>
    <x v="1"/>
    <x v="37"/>
    <x v="0"/>
    <x v="6"/>
    <x v="0"/>
    <n v="21880"/>
  </r>
  <r>
    <s v="CSKU00757_2EK"/>
    <x v="1"/>
    <x v="1"/>
    <x v="1"/>
    <x v="1"/>
    <x v="4"/>
    <x v="1"/>
    <x v="8"/>
    <x v="1"/>
    <x v="6"/>
    <x v="0"/>
    <n v="23140"/>
  </r>
  <r>
    <s v="CSKU00758_2EK"/>
    <x v="1"/>
    <x v="1"/>
    <x v="1"/>
    <x v="1"/>
    <x v="1"/>
    <x v="6"/>
    <x v="8"/>
    <x v="1"/>
    <x v="5"/>
    <x v="0"/>
    <n v="22570"/>
  </r>
  <r>
    <s v="CSKU00759_2EK"/>
    <x v="1"/>
    <x v="1"/>
    <x v="1"/>
    <x v="1"/>
    <x v="1"/>
    <x v="1"/>
    <x v="8"/>
    <x v="1"/>
    <x v="6"/>
    <x v="0"/>
    <n v="25190"/>
  </r>
  <r>
    <s v="CSKU00760_2EK"/>
    <x v="1"/>
    <x v="1"/>
    <x v="1"/>
    <x v="5"/>
    <x v="4"/>
    <x v="6"/>
    <x v="8"/>
    <x v="1"/>
    <x v="5"/>
    <x v="0"/>
    <n v="23870"/>
  </r>
  <r>
    <s v="CSKU00761_2EK"/>
    <x v="1"/>
    <x v="1"/>
    <x v="1"/>
    <x v="5"/>
    <x v="4"/>
    <x v="1"/>
    <x v="8"/>
    <x v="1"/>
    <x v="6"/>
    <x v="0"/>
    <n v="26390"/>
  </r>
  <r>
    <s v="CSKU00762_2EK"/>
    <x v="1"/>
    <x v="1"/>
    <x v="1"/>
    <x v="5"/>
    <x v="1"/>
    <x v="6"/>
    <x v="8"/>
    <x v="1"/>
    <x v="5"/>
    <x v="0"/>
    <n v="25300"/>
  </r>
  <r>
    <s v="CSKU00763_2EK"/>
    <x v="1"/>
    <x v="1"/>
    <x v="1"/>
    <x v="5"/>
    <x v="1"/>
    <x v="1"/>
    <x v="8"/>
    <x v="1"/>
    <x v="6"/>
    <x v="0"/>
    <n v="28760"/>
  </r>
  <r>
    <s v="CSKU00764_2EK"/>
    <x v="1"/>
    <x v="1"/>
    <x v="1"/>
    <x v="4"/>
    <x v="4"/>
    <x v="6"/>
    <x v="8"/>
    <x v="1"/>
    <x v="5"/>
    <x v="0"/>
    <n v="26180"/>
  </r>
  <r>
    <s v="CSKU00765_2EK"/>
    <x v="1"/>
    <x v="1"/>
    <x v="1"/>
    <x v="4"/>
    <x v="4"/>
    <x v="1"/>
    <x v="8"/>
    <x v="1"/>
    <x v="6"/>
    <x v="0"/>
    <n v="28890"/>
  </r>
  <r>
    <s v="CSKU00766_2EK"/>
    <x v="1"/>
    <x v="1"/>
    <x v="1"/>
    <x v="4"/>
    <x v="1"/>
    <x v="6"/>
    <x v="8"/>
    <x v="1"/>
    <x v="5"/>
    <x v="0"/>
    <n v="27800"/>
  </r>
  <r>
    <s v="CSKU00570_2EK"/>
    <x v="1"/>
    <x v="1"/>
    <x v="0"/>
    <x v="5"/>
    <x v="1"/>
    <x v="6"/>
    <x v="38"/>
    <x v="0"/>
    <x v="5"/>
    <x v="0"/>
    <n v="24190"/>
  </r>
  <r>
    <s v="CSKU00571_2EK"/>
    <x v="1"/>
    <x v="1"/>
    <x v="0"/>
    <x v="5"/>
    <x v="1"/>
    <x v="1"/>
    <x v="38"/>
    <x v="0"/>
    <x v="6"/>
    <x v="0"/>
    <n v="27270"/>
  </r>
  <r>
    <s v="CSKU00767_2EK"/>
    <x v="1"/>
    <x v="1"/>
    <x v="1"/>
    <x v="4"/>
    <x v="1"/>
    <x v="1"/>
    <x v="8"/>
    <x v="1"/>
    <x v="6"/>
    <x v="0"/>
    <n v="31430"/>
  </r>
  <r>
    <s v="CSKU00654_2EK"/>
    <x v="1"/>
    <x v="1"/>
    <x v="0"/>
    <x v="1"/>
    <x v="4"/>
    <x v="6"/>
    <x v="39"/>
    <x v="0"/>
    <x v="5"/>
    <x v="0"/>
    <n v="19840"/>
  </r>
  <r>
    <s v="CSKU00655_2EK"/>
    <x v="1"/>
    <x v="1"/>
    <x v="0"/>
    <x v="1"/>
    <x v="4"/>
    <x v="1"/>
    <x v="39"/>
    <x v="0"/>
    <x v="6"/>
    <x v="0"/>
    <n v="21880"/>
  </r>
  <r>
    <s v="CSKU01016_2EK"/>
    <x v="1"/>
    <x v="1"/>
    <x v="0"/>
    <x v="1"/>
    <x v="1"/>
    <x v="6"/>
    <x v="37"/>
    <x v="0"/>
    <x v="5"/>
    <x v="0"/>
    <n v="21470"/>
  </r>
  <r>
    <s v="CSKU01017_2EK"/>
    <x v="1"/>
    <x v="1"/>
    <x v="0"/>
    <x v="1"/>
    <x v="1"/>
    <x v="1"/>
    <x v="37"/>
    <x v="0"/>
    <x v="6"/>
    <x v="0"/>
    <n v="23830"/>
  </r>
  <r>
    <s v="CSKU01018_2EK"/>
    <x v="1"/>
    <x v="1"/>
    <x v="0"/>
    <x v="5"/>
    <x v="4"/>
    <x v="6"/>
    <x v="37"/>
    <x v="0"/>
    <x v="5"/>
    <x v="0"/>
    <n v="22780"/>
  </r>
  <r>
    <s v="CSKU01019_2EK"/>
    <x v="1"/>
    <x v="1"/>
    <x v="0"/>
    <x v="5"/>
    <x v="4"/>
    <x v="1"/>
    <x v="37"/>
    <x v="0"/>
    <x v="6"/>
    <x v="0"/>
    <n v="25030"/>
  </r>
  <r>
    <s v="CSKU01020_2EK"/>
    <x v="1"/>
    <x v="1"/>
    <x v="0"/>
    <x v="5"/>
    <x v="1"/>
    <x v="6"/>
    <x v="37"/>
    <x v="0"/>
    <x v="5"/>
    <x v="0"/>
    <n v="24190"/>
  </r>
  <r>
    <s v="CSKU01021_2EK"/>
    <x v="1"/>
    <x v="1"/>
    <x v="0"/>
    <x v="5"/>
    <x v="1"/>
    <x v="1"/>
    <x v="37"/>
    <x v="0"/>
    <x v="6"/>
    <x v="0"/>
    <n v="27270"/>
  </r>
  <r>
    <s v="CSKU01022_2EK"/>
    <x v="1"/>
    <x v="1"/>
    <x v="0"/>
    <x v="4"/>
    <x v="4"/>
    <x v="6"/>
    <x v="37"/>
    <x v="0"/>
    <x v="5"/>
    <x v="0"/>
    <n v="25020"/>
  </r>
  <r>
    <s v="CSKU01023_2EK"/>
    <x v="1"/>
    <x v="1"/>
    <x v="0"/>
    <x v="4"/>
    <x v="4"/>
    <x v="1"/>
    <x v="37"/>
    <x v="0"/>
    <x v="6"/>
    <x v="0"/>
    <n v="27450"/>
  </r>
  <r>
    <s v="CSKU01024_2EK"/>
    <x v="1"/>
    <x v="1"/>
    <x v="0"/>
    <x v="4"/>
    <x v="1"/>
    <x v="6"/>
    <x v="37"/>
    <x v="0"/>
    <x v="5"/>
    <x v="0"/>
    <n v="26610"/>
  </r>
  <r>
    <s v="CSKU01025_2EK"/>
    <x v="1"/>
    <x v="1"/>
    <x v="0"/>
    <x v="4"/>
    <x v="1"/>
    <x v="1"/>
    <x v="37"/>
    <x v="0"/>
    <x v="6"/>
    <x v="0"/>
    <n v="29880"/>
  </r>
  <r>
    <s v="CSKU00656_2EK"/>
    <x v="1"/>
    <x v="1"/>
    <x v="0"/>
    <x v="1"/>
    <x v="1"/>
    <x v="6"/>
    <x v="39"/>
    <x v="0"/>
    <x v="5"/>
    <x v="0"/>
    <n v="21470"/>
  </r>
  <r>
    <s v="CSKU01026_2EK"/>
    <x v="1"/>
    <x v="1"/>
    <x v="1"/>
    <x v="1"/>
    <x v="4"/>
    <x v="6"/>
    <x v="37"/>
    <x v="1"/>
    <x v="5"/>
    <x v="0"/>
    <n v="20860"/>
  </r>
  <r>
    <s v="CSKU00657_2EK"/>
    <x v="1"/>
    <x v="1"/>
    <x v="0"/>
    <x v="1"/>
    <x v="1"/>
    <x v="1"/>
    <x v="39"/>
    <x v="0"/>
    <x v="6"/>
    <x v="0"/>
    <n v="23830"/>
  </r>
  <r>
    <s v="CSKU00658_2EK"/>
    <x v="1"/>
    <x v="1"/>
    <x v="0"/>
    <x v="5"/>
    <x v="4"/>
    <x v="6"/>
    <x v="39"/>
    <x v="0"/>
    <x v="5"/>
    <x v="0"/>
    <n v="22780"/>
  </r>
  <r>
    <s v="CSKU00659_2EK"/>
    <x v="1"/>
    <x v="1"/>
    <x v="0"/>
    <x v="5"/>
    <x v="4"/>
    <x v="1"/>
    <x v="39"/>
    <x v="0"/>
    <x v="6"/>
    <x v="0"/>
    <n v="25030"/>
  </r>
  <r>
    <s v="CSKU00660_2EK"/>
    <x v="1"/>
    <x v="1"/>
    <x v="0"/>
    <x v="5"/>
    <x v="1"/>
    <x v="6"/>
    <x v="39"/>
    <x v="0"/>
    <x v="5"/>
    <x v="0"/>
    <n v="24190"/>
  </r>
  <r>
    <s v="CSKU00661_2EK"/>
    <x v="1"/>
    <x v="1"/>
    <x v="0"/>
    <x v="5"/>
    <x v="1"/>
    <x v="1"/>
    <x v="39"/>
    <x v="0"/>
    <x v="6"/>
    <x v="0"/>
    <n v="27270"/>
  </r>
  <r>
    <s v="CSKU00662_2EK"/>
    <x v="1"/>
    <x v="1"/>
    <x v="0"/>
    <x v="4"/>
    <x v="4"/>
    <x v="6"/>
    <x v="39"/>
    <x v="0"/>
    <x v="5"/>
    <x v="0"/>
    <n v="25020"/>
  </r>
  <r>
    <s v="CSKU00663_2EK"/>
    <x v="1"/>
    <x v="1"/>
    <x v="0"/>
    <x v="4"/>
    <x v="4"/>
    <x v="1"/>
    <x v="39"/>
    <x v="0"/>
    <x v="6"/>
    <x v="0"/>
    <n v="27450"/>
  </r>
  <r>
    <s v="CSKU00664_2EK"/>
    <x v="1"/>
    <x v="1"/>
    <x v="0"/>
    <x v="4"/>
    <x v="1"/>
    <x v="6"/>
    <x v="39"/>
    <x v="0"/>
    <x v="5"/>
    <x v="0"/>
    <n v="26610"/>
  </r>
  <r>
    <s v="CSKU00665_2EK"/>
    <x v="1"/>
    <x v="1"/>
    <x v="0"/>
    <x v="4"/>
    <x v="1"/>
    <x v="1"/>
    <x v="39"/>
    <x v="0"/>
    <x v="6"/>
    <x v="0"/>
    <n v="29880"/>
  </r>
  <r>
    <s v="CSKU00666_2EK"/>
    <x v="1"/>
    <x v="1"/>
    <x v="1"/>
    <x v="1"/>
    <x v="4"/>
    <x v="6"/>
    <x v="39"/>
    <x v="1"/>
    <x v="5"/>
    <x v="0"/>
    <n v="20860"/>
  </r>
  <r>
    <s v="CSKU00667_2EK"/>
    <x v="1"/>
    <x v="1"/>
    <x v="1"/>
    <x v="1"/>
    <x v="4"/>
    <x v="1"/>
    <x v="39"/>
    <x v="1"/>
    <x v="6"/>
    <x v="0"/>
    <n v="23140"/>
  </r>
  <r>
    <s v="CSKU01027_2EK"/>
    <x v="1"/>
    <x v="1"/>
    <x v="1"/>
    <x v="1"/>
    <x v="4"/>
    <x v="1"/>
    <x v="37"/>
    <x v="1"/>
    <x v="6"/>
    <x v="0"/>
    <n v="23140"/>
  </r>
  <r>
    <s v="CSKU01028_2EK"/>
    <x v="1"/>
    <x v="1"/>
    <x v="1"/>
    <x v="1"/>
    <x v="1"/>
    <x v="6"/>
    <x v="37"/>
    <x v="1"/>
    <x v="5"/>
    <x v="0"/>
    <n v="22570"/>
  </r>
  <r>
    <s v="CSKU01029_2EK"/>
    <x v="1"/>
    <x v="1"/>
    <x v="1"/>
    <x v="1"/>
    <x v="1"/>
    <x v="1"/>
    <x v="37"/>
    <x v="1"/>
    <x v="6"/>
    <x v="0"/>
    <n v="25190"/>
  </r>
  <r>
    <s v="CSKU01030_2EK"/>
    <x v="1"/>
    <x v="1"/>
    <x v="1"/>
    <x v="5"/>
    <x v="4"/>
    <x v="6"/>
    <x v="37"/>
    <x v="1"/>
    <x v="5"/>
    <x v="0"/>
    <n v="23870"/>
  </r>
  <r>
    <s v="CSKU01031_2EK"/>
    <x v="1"/>
    <x v="1"/>
    <x v="1"/>
    <x v="5"/>
    <x v="4"/>
    <x v="1"/>
    <x v="37"/>
    <x v="1"/>
    <x v="6"/>
    <x v="0"/>
    <n v="26390"/>
  </r>
  <r>
    <s v="CSKU01032_2EK"/>
    <x v="1"/>
    <x v="1"/>
    <x v="1"/>
    <x v="5"/>
    <x v="1"/>
    <x v="6"/>
    <x v="37"/>
    <x v="1"/>
    <x v="5"/>
    <x v="0"/>
    <n v="25300"/>
  </r>
  <r>
    <s v="CSKU01033_2EK"/>
    <x v="1"/>
    <x v="1"/>
    <x v="1"/>
    <x v="5"/>
    <x v="1"/>
    <x v="1"/>
    <x v="37"/>
    <x v="1"/>
    <x v="6"/>
    <x v="0"/>
    <n v="28760"/>
  </r>
  <r>
    <s v="CSKU01034_2EK"/>
    <x v="1"/>
    <x v="1"/>
    <x v="1"/>
    <x v="4"/>
    <x v="4"/>
    <x v="6"/>
    <x v="37"/>
    <x v="1"/>
    <x v="5"/>
    <x v="0"/>
    <n v="26180"/>
  </r>
  <r>
    <s v="CSKU01035_2EK"/>
    <x v="1"/>
    <x v="1"/>
    <x v="1"/>
    <x v="4"/>
    <x v="4"/>
    <x v="1"/>
    <x v="37"/>
    <x v="1"/>
    <x v="6"/>
    <x v="0"/>
    <n v="28890"/>
  </r>
  <r>
    <s v="CSKU01036_2EK"/>
    <x v="1"/>
    <x v="1"/>
    <x v="1"/>
    <x v="4"/>
    <x v="1"/>
    <x v="6"/>
    <x v="37"/>
    <x v="1"/>
    <x v="5"/>
    <x v="0"/>
    <n v="27800"/>
  </r>
  <r>
    <s v="CSKU01037_2EK"/>
    <x v="1"/>
    <x v="1"/>
    <x v="1"/>
    <x v="4"/>
    <x v="1"/>
    <x v="1"/>
    <x v="37"/>
    <x v="1"/>
    <x v="6"/>
    <x v="0"/>
    <n v="31430"/>
  </r>
  <r>
    <s v="CSKU01284_2EK"/>
    <x v="1"/>
    <x v="1"/>
    <x v="0"/>
    <x v="1"/>
    <x v="4"/>
    <x v="6"/>
    <x v="34"/>
    <x v="0"/>
    <x v="5"/>
    <x v="0"/>
    <n v="19840"/>
  </r>
  <r>
    <s v="CSKU01285_2EK"/>
    <x v="1"/>
    <x v="1"/>
    <x v="0"/>
    <x v="1"/>
    <x v="4"/>
    <x v="1"/>
    <x v="34"/>
    <x v="0"/>
    <x v="6"/>
    <x v="0"/>
    <n v="21880"/>
  </r>
  <r>
    <s v="CSKU01286_2EK"/>
    <x v="1"/>
    <x v="1"/>
    <x v="0"/>
    <x v="1"/>
    <x v="1"/>
    <x v="6"/>
    <x v="34"/>
    <x v="0"/>
    <x v="5"/>
    <x v="0"/>
    <n v="21470"/>
  </r>
  <r>
    <s v="CSKU01287_2EK"/>
    <x v="1"/>
    <x v="1"/>
    <x v="0"/>
    <x v="1"/>
    <x v="1"/>
    <x v="1"/>
    <x v="34"/>
    <x v="0"/>
    <x v="6"/>
    <x v="0"/>
    <n v="23830"/>
  </r>
  <r>
    <s v="CSKU01288_2EK"/>
    <x v="1"/>
    <x v="1"/>
    <x v="0"/>
    <x v="5"/>
    <x v="4"/>
    <x v="6"/>
    <x v="34"/>
    <x v="0"/>
    <x v="5"/>
    <x v="0"/>
    <n v="22780"/>
  </r>
  <r>
    <s v="CSKU00388_2EK"/>
    <x v="1"/>
    <x v="1"/>
    <x v="0"/>
    <x v="5"/>
    <x v="4"/>
    <x v="6"/>
    <x v="40"/>
    <x v="0"/>
    <x v="5"/>
    <x v="0"/>
    <n v="22780"/>
  </r>
  <r>
    <s v="CSKU00389_2EK"/>
    <x v="1"/>
    <x v="1"/>
    <x v="0"/>
    <x v="5"/>
    <x v="4"/>
    <x v="1"/>
    <x v="40"/>
    <x v="0"/>
    <x v="6"/>
    <x v="0"/>
    <n v="25030"/>
  </r>
  <r>
    <s v="CSKU00668_2EK"/>
    <x v="1"/>
    <x v="1"/>
    <x v="1"/>
    <x v="1"/>
    <x v="1"/>
    <x v="6"/>
    <x v="39"/>
    <x v="1"/>
    <x v="5"/>
    <x v="0"/>
    <n v="22570"/>
  </r>
  <r>
    <s v="CSKU00215_2EK"/>
    <x v="1"/>
    <x v="1"/>
    <x v="0"/>
    <x v="4"/>
    <x v="1"/>
    <x v="1"/>
    <x v="7"/>
    <x v="0"/>
    <x v="6"/>
    <x v="0"/>
    <n v="24600"/>
  </r>
  <r>
    <s v="CSKU00216_2EK"/>
    <x v="1"/>
    <x v="1"/>
    <x v="1"/>
    <x v="1"/>
    <x v="4"/>
    <x v="6"/>
    <x v="7"/>
    <x v="1"/>
    <x v="5"/>
    <x v="0"/>
    <n v="17180"/>
  </r>
  <r>
    <s v="CSKU00217_2EK"/>
    <x v="1"/>
    <x v="1"/>
    <x v="1"/>
    <x v="1"/>
    <x v="4"/>
    <x v="1"/>
    <x v="7"/>
    <x v="1"/>
    <x v="6"/>
    <x v="0"/>
    <n v="19460"/>
  </r>
  <r>
    <s v="CSKU00218_2EK"/>
    <x v="1"/>
    <x v="1"/>
    <x v="1"/>
    <x v="1"/>
    <x v="1"/>
    <x v="6"/>
    <x v="7"/>
    <x v="1"/>
    <x v="5"/>
    <x v="0"/>
    <n v="18630"/>
  </r>
  <r>
    <s v="CSKU00219_2EK"/>
    <x v="1"/>
    <x v="1"/>
    <x v="1"/>
    <x v="1"/>
    <x v="1"/>
    <x v="1"/>
    <x v="7"/>
    <x v="1"/>
    <x v="6"/>
    <x v="0"/>
    <n v="21250"/>
  </r>
  <r>
    <s v="CSKU00220_2EK"/>
    <x v="1"/>
    <x v="1"/>
    <x v="1"/>
    <x v="5"/>
    <x v="4"/>
    <x v="6"/>
    <x v="7"/>
    <x v="1"/>
    <x v="5"/>
    <x v="0"/>
    <n v="19530"/>
  </r>
  <r>
    <s v="CSKU00221_2EK"/>
    <x v="1"/>
    <x v="1"/>
    <x v="1"/>
    <x v="5"/>
    <x v="4"/>
    <x v="1"/>
    <x v="7"/>
    <x v="1"/>
    <x v="6"/>
    <x v="0"/>
    <n v="22050"/>
  </r>
  <r>
    <s v="CSKU00222_2EK"/>
    <x v="1"/>
    <x v="1"/>
    <x v="1"/>
    <x v="5"/>
    <x v="1"/>
    <x v="6"/>
    <x v="7"/>
    <x v="1"/>
    <x v="5"/>
    <x v="0"/>
    <n v="20750"/>
  </r>
  <r>
    <s v="CSKU00223_2EK"/>
    <x v="1"/>
    <x v="1"/>
    <x v="1"/>
    <x v="5"/>
    <x v="1"/>
    <x v="1"/>
    <x v="7"/>
    <x v="1"/>
    <x v="6"/>
    <x v="0"/>
    <n v="24210"/>
  </r>
  <r>
    <s v="CSKU00224_2EK"/>
    <x v="1"/>
    <x v="1"/>
    <x v="1"/>
    <x v="4"/>
    <x v="4"/>
    <x v="6"/>
    <x v="7"/>
    <x v="1"/>
    <x v="5"/>
    <x v="0"/>
    <n v="21950"/>
  </r>
  <r>
    <s v="CSKU00225_2EK"/>
    <x v="1"/>
    <x v="1"/>
    <x v="1"/>
    <x v="4"/>
    <x v="4"/>
    <x v="1"/>
    <x v="7"/>
    <x v="1"/>
    <x v="6"/>
    <x v="0"/>
    <n v="24660"/>
  </r>
  <r>
    <s v="CSKU00226_2EK"/>
    <x v="1"/>
    <x v="1"/>
    <x v="1"/>
    <x v="4"/>
    <x v="1"/>
    <x v="6"/>
    <x v="7"/>
    <x v="1"/>
    <x v="5"/>
    <x v="0"/>
    <n v="23150"/>
  </r>
  <r>
    <s v="CSKU00133_2EK"/>
    <x v="1"/>
    <x v="1"/>
    <x v="1"/>
    <x v="5"/>
    <x v="1"/>
    <x v="1"/>
    <x v="41"/>
    <x v="1"/>
    <x v="6"/>
    <x v="0"/>
    <n v="24000"/>
  </r>
  <r>
    <s v="CSKU00134_2EK"/>
    <x v="1"/>
    <x v="1"/>
    <x v="1"/>
    <x v="4"/>
    <x v="4"/>
    <x v="6"/>
    <x v="41"/>
    <x v="1"/>
    <x v="5"/>
    <x v="0"/>
    <n v="21630"/>
  </r>
  <r>
    <s v="CSKU00227_2EK"/>
    <x v="1"/>
    <x v="1"/>
    <x v="1"/>
    <x v="4"/>
    <x v="1"/>
    <x v="1"/>
    <x v="7"/>
    <x v="1"/>
    <x v="6"/>
    <x v="0"/>
    <n v="26780"/>
  </r>
  <r>
    <s v="CSKU00924_2EK"/>
    <x v="1"/>
    <x v="1"/>
    <x v="0"/>
    <x v="1"/>
    <x v="4"/>
    <x v="6"/>
    <x v="36"/>
    <x v="0"/>
    <x v="5"/>
    <x v="0"/>
    <n v="19840"/>
  </r>
  <r>
    <s v="CSKU00925_2EK"/>
    <x v="1"/>
    <x v="1"/>
    <x v="0"/>
    <x v="1"/>
    <x v="4"/>
    <x v="1"/>
    <x v="36"/>
    <x v="0"/>
    <x v="6"/>
    <x v="0"/>
    <n v="21880"/>
  </r>
  <r>
    <s v="CSKU00926_2EK"/>
    <x v="1"/>
    <x v="1"/>
    <x v="0"/>
    <x v="1"/>
    <x v="1"/>
    <x v="6"/>
    <x v="36"/>
    <x v="0"/>
    <x v="5"/>
    <x v="0"/>
    <n v="21470"/>
  </r>
  <r>
    <s v="CSKU00927_2EK"/>
    <x v="1"/>
    <x v="1"/>
    <x v="0"/>
    <x v="1"/>
    <x v="1"/>
    <x v="1"/>
    <x v="36"/>
    <x v="0"/>
    <x v="6"/>
    <x v="0"/>
    <n v="23830"/>
  </r>
  <r>
    <s v="CSKU00928_2EK"/>
    <x v="1"/>
    <x v="1"/>
    <x v="0"/>
    <x v="5"/>
    <x v="4"/>
    <x v="6"/>
    <x v="36"/>
    <x v="0"/>
    <x v="5"/>
    <x v="0"/>
    <n v="22780"/>
  </r>
  <r>
    <s v="CSKU00474_2EK"/>
    <x v="1"/>
    <x v="1"/>
    <x v="0"/>
    <x v="1"/>
    <x v="4"/>
    <x v="6"/>
    <x v="42"/>
    <x v="0"/>
    <x v="5"/>
    <x v="0"/>
    <n v="19840"/>
  </r>
  <r>
    <s v="CSKU00475_2EK"/>
    <x v="1"/>
    <x v="1"/>
    <x v="0"/>
    <x v="1"/>
    <x v="4"/>
    <x v="1"/>
    <x v="42"/>
    <x v="0"/>
    <x v="6"/>
    <x v="0"/>
    <n v="21880"/>
  </r>
  <r>
    <s v="CSKU00476_2EK"/>
    <x v="1"/>
    <x v="1"/>
    <x v="0"/>
    <x v="1"/>
    <x v="1"/>
    <x v="6"/>
    <x v="42"/>
    <x v="0"/>
    <x v="5"/>
    <x v="0"/>
    <n v="21470"/>
  </r>
  <r>
    <s v="CSKU00477_2EK"/>
    <x v="1"/>
    <x v="1"/>
    <x v="0"/>
    <x v="1"/>
    <x v="1"/>
    <x v="1"/>
    <x v="42"/>
    <x v="0"/>
    <x v="6"/>
    <x v="0"/>
    <n v="23830"/>
  </r>
  <r>
    <s v="CSKU00478_2EK"/>
    <x v="1"/>
    <x v="1"/>
    <x v="0"/>
    <x v="5"/>
    <x v="4"/>
    <x v="6"/>
    <x v="42"/>
    <x v="0"/>
    <x v="5"/>
    <x v="0"/>
    <n v="22780"/>
  </r>
  <r>
    <s v="CSKU00479_2EK"/>
    <x v="1"/>
    <x v="1"/>
    <x v="0"/>
    <x v="5"/>
    <x v="4"/>
    <x v="1"/>
    <x v="42"/>
    <x v="0"/>
    <x v="6"/>
    <x v="0"/>
    <n v="25030"/>
  </r>
  <r>
    <s v="CSKU00480_2EK"/>
    <x v="1"/>
    <x v="1"/>
    <x v="0"/>
    <x v="5"/>
    <x v="1"/>
    <x v="6"/>
    <x v="42"/>
    <x v="0"/>
    <x v="5"/>
    <x v="0"/>
    <n v="24190"/>
  </r>
  <r>
    <s v="CSKU00481_2EK"/>
    <x v="1"/>
    <x v="1"/>
    <x v="0"/>
    <x v="5"/>
    <x v="1"/>
    <x v="1"/>
    <x v="42"/>
    <x v="0"/>
    <x v="6"/>
    <x v="0"/>
    <n v="27270"/>
  </r>
  <r>
    <s v="CSKU00482_2EK"/>
    <x v="1"/>
    <x v="1"/>
    <x v="0"/>
    <x v="4"/>
    <x v="4"/>
    <x v="6"/>
    <x v="42"/>
    <x v="0"/>
    <x v="5"/>
    <x v="0"/>
    <n v="25020"/>
  </r>
  <r>
    <s v="CSKU00669_2EK"/>
    <x v="1"/>
    <x v="1"/>
    <x v="1"/>
    <x v="1"/>
    <x v="1"/>
    <x v="1"/>
    <x v="39"/>
    <x v="1"/>
    <x v="6"/>
    <x v="0"/>
    <n v="25190"/>
  </r>
  <r>
    <s v="CSKU00670_2EK"/>
    <x v="1"/>
    <x v="1"/>
    <x v="1"/>
    <x v="5"/>
    <x v="4"/>
    <x v="6"/>
    <x v="39"/>
    <x v="1"/>
    <x v="5"/>
    <x v="0"/>
    <n v="23870"/>
  </r>
  <r>
    <s v="CSKU00671_2EK"/>
    <x v="1"/>
    <x v="1"/>
    <x v="1"/>
    <x v="5"/>
    <x v="4"/>
    <x v="1"/>
    <x v="39"/>
    <x v="1"/>
    <x v="6"/>
    <x v="0"/>
    <n v="26390"/>
  </r>
  <r>
    <s v="CSKU00672_2EK"/>
    <x v="1"/>
    <x v="1"/>
    <x v="1"/>
    <x v="5"/>
    <x v="1"/>
    <x v="6"/>
    <x v="39"/>
    <x v="1"/>
    <x v="5"/>
    <x v="0"/>
    <n v="25300"/>
  </r>
  <r>
    <s v="CSKU00673_2EK"/>
    <x v="1"/>
    <x v="1"/>
    <x v="1"/>
    <x v="5"/>
    <x v="1"/>
    <x v="1"/>
    <x v="39"/>
    <x v="1"/>
    <x v="6"/>
    <x v="0"/>
    <n v="28760"/>
  </r>
  <r>
    <s v="CSKU00674_2EK"/>
    <x v="1"/>
    <x v="1"/>
    <x v="1"/>
    <x v="4"/>
    <x v="4"/>
    <x v="6"/>
    <x v="39"/>
    <x v="1"/>
    <x v="5"/>
    <x v="0"/>
    <n v="26180"/>
  </r>
  <r>
    <s v="CSKU00675_2EK"/>
    <x v="1"/>
    <x v="1"/>
    <x v="1"/>
    <x v="4"/>
    <x v="4"/>
    <x v="1"/>
    <x v="39"/>
    <x v="1"/>
    <x v="6"/>
    <x v="0"/>
    <n v="28890"/>
  </r>
  <r>
    <s v="CSKU00676_2EK"/>
    <x v="1"/>
    <x v="1"/>
    <x v="1"/>
    <x v="4"/>
    <x v="1"/>
    <x v="6"/>
    <x v="39"/>
    <x v="1"/>
    <x v="5"/>
    <x v="0"/>
    <n v="27800"/>
  </r>
  <r>
    <s v="CSKU00677_2EK"/>
    <x v="1"/>
    <x v="1"/>
    <x v="1"/>
    <x v="4"/>
    <x v="1"/>
    <x v="1"/>
    <x v="39"/>
    <x v="1"/>
    <x v="6"/>
    <x v="0"/>
    <n v="31430"/>
  </r>
  <r>
    <s v="CSKU00483_2EK"/>
    <x v="1"/>
    <x v="1"/>
    <x v="0"/>
    <x v="4"/>
    <x v="4"/>
    <x v="1"/>
    <x v="42"/>
    <x v="0"/>
    <x v="6"/>
    <x v="0"/>
    <n v="27450"/>
  </r>
  <r>
    <s v="CSKU00484_2EK"/>
    <x v="1"/>
    <x v="1"/>
    <x v="0"/>
    <x v="4"/>
    <x v="1"/>
    <x v="6"/>
    <x v="42"/>
    <x v="0"/>
    <x v="5"/>
    <x v="0"/>
    <n v="26610"/>
  </r>
  <r>
    <s v="CSKU00485_2EK"/>
    <x v="1"/>
    <x v="1"/>
    <x v="0"/>
    <x v="4"/>
    <x v="1"/>
    <x v="1"/>
    <x v="42"/>
    <x v="0"/>
    <x v="6"/>
    <x v="0"/>
    <n v="29880"/>
  </r>
  <r>
    <s v="CSKU00486_2EK"/>
    <x v="1"/>
    <x v="1"/>
    <x v="1"/>
    <x v="1"/>
    <x v="4"/>
    <x v="6"/>
    <x v="42"/>
    <x v="1"/>
    <x v="5"/>
    <x v="0"/>
    <n v="20860"/>
  </r>
  <r>
    <s v="CSKU00487_2EK"/>
    <x v="1"/>
    <x v="1"/>
    <x v="1"/>
    <x v="1"/>
    <x v="4"/>
    <x v="1"/>
    <x v="42"/>
    <x v="1"/>
    <x v="6"/>
    <x v="0"/>
    <n v="23140"/>
  </r>
  <r>
    <s v="CSKU00488_2EK"/>
    <x v="1"/>
    <x v="1"/>
    <x v="1"/>
    <x v="1"/>
    <x v="1"/>
    <x v="6"/>
    <x v="42"/>
    <x v="1"/>
    <x v="5"/>
    <x v="0"/>
    <n v="22570"/>
  </r>
  <r>
    <s v="CSKU00489_2EK"/>
    <x v="1"/>
    <x v="1"/>
    <x v="1"/>
    <x v="1"/>
    <x v="1"/>
    <x v="1"/>
    <x v="42"/>
    <x v="1"/>
    <x v="6"/>
    <x v="0"/>
    <n v="25190"/>
  </r>
  <r>
    <s v="CSKU00490_2EK"/>
    <x v="1"/>
    <x v="1"/>
    <x v="1"/>
    <x v="5"/>
    <x v="4"/>
    <x v="6"/>
    <x v="42"/>
    <x v="1"/>
    <x v="5"/>
    <x v="0"/>
    <n v="23870"/>
  </r>
  <r>
    <s v="CSKU00491_2EK"/>
    <x v="1"/>
    <x v="1"/>
    <x v="1"/>
    <x v="5"/>
    <x v="4"/>
    <x v="1"/>
    <x v="42"/>
    <x v="1"/>
    <x v="6"/>
    <x v="0"/>
    <n v="26390"/>
  </r>
  <r>
    <s v="CSKU00492_2EK"/>
    <x v="1"/>
    <x v="1"/>
    <x v="1"/>
    <x v="5"/>
    <x v="1"/>
    <x v="6"/>
    <x v="42"/>
    <x v="1"/>
    <x v="5"/>
    <x v="0"/>
    <n v="25300"/>
  </r>
  <r>
    <s v="CSKU00493_2EK"/>
    <x v="1"/>
    <x v="1"/>
    <x v="1"/>
    <x v="5"/>
    <x v="1"/>
    <x v="1"/>
    <x v="42"/>
    <x v="1"/>
    <x v="6"/>
    <x v="0"/>
    <n v="28760"/>
  </r>
  <r>
    <s v="CSKU00494_2EK"/>
    <x v="1"/>
    <x v="1"/>
    <x v="1"/>
    <x v="4"/>
    <x v="4"/>
    <x v="6"/>
    <x v="42"/>
    <x v="1"/>
    <x v="5"/>
    <x v="0"/>
    <n v="26180"/>
  </r>
  <r>
    <s v="CSKU00495_2EK"/>
    <x v="1"/>
    <x v="1"/>
    <x v="1"/>
    <x v="4"/>
    <x v="4"/>
    <x v="1"/>
    <x v="42"/>
    <x v="1"/>
    <x v="6"/>
    <x v="0"/>
    <n v="28890"/>
  </r>
  <r>
    <s v="CSKU00564_2EK"/>
    <x v="1"/>
    <x v="1"/>
    <x v="0"/>
    <x v="1"/>
    <x v="4"/>
    <x v="6"/>
    <x v="38"/>
    <x v="0"/>
    <x v="5"/>
    <x v="0"/>
    <n v="19840"/>
  </r>
  <r>
    <s v="CSKU00565_2EK"/>
    <x v="1"/>
    <x v="1"/>
    <x v="0"/>
    <x v="1"/>
    <x v="4"/>
    <x v="1"/>
    <x v="38"/>
    <x v="0"/>
    <x v="6"/>
    <x v="0"/>
    <n v="21880"/>
  </r>
  <r>
    <s v="CSKU00566_2EK"/>
    <x v="1"/>
    <x v="1"/>
    <x v="0"/>
    <x v="1"/>
    <x v="1"/>
    <x v="6"/>
    <x v="38"/>
    <x v="0"/>
    <x v="5"/>
    <x v="0"/>
    <n v="21470"/>
  </r>
  <r>
    <s v="CSKU00567_2EK"/>
    <x v="1"/>
    <x v="1"/>
    <x v="0"/>
    <x v="1"/>
    <x v="1"/>
    <x v="1"/>
    <x v="38"/>
    <x v="0"/>
    <x v="6"/>
    <x v="0"/>
    <n v="23830"/>
  </r>
  <r>
    <s v="CSKU00568_2EK"/>
    <x v="1"/>
    <x v="1"/>
    <x v="0"/>
    <x v="5"/>
    <x v="4"/>
    <x v="6"/>
    <x v="38"/>
    <x v="0"/>
    <x v="5"/>
    <x v="0"/>
    <n v="22780"/>
  </r>
  <r>
    <s v="CSKU00569_2EK"/>
    <x v="1"/>
    <x v="1"/>
    <x v="0"/>
    <x v="5"/>
    <x v="4"/>
    <x v="1"/>
    <x v="38"/>
    <x v="0"/>
    <x v="6"/>
    <x v="0"/>
    <n v="25030"/>
  </r>
  <r>
    <s v="CSKU00496_2EK"/>
    <x v="1"/>
    <x v="1"/>
    <x v="1"/>
    <x v="4"/>
    <x v="1"/>
    <x v="6"/>
    <x v="42"/>
    <x v="1"/>
    <x v="5"/>
    <x v="0"/>
    <n v="27800"/>
  </r>
  <r>
    <s v="CSKU00497_2EK"/>
    <x v="1"/>
    <x v="1"/>
    <x v="1"/>
    <x v="4"/>
    <x v="1"/>
    <x v="1"/>
    <x v="42"/>
    <x v="1"/>
    <x v="6"/>
    <x v="0"/>
    <n v="31430"/>
  </r>
  <r>
    <s v="CSKU00384_2EK"/>
    <x v="1"/>
    <x v="1"/>
    <x v="0"/>
    <x v="1"/>
    <x v="4"/>
    <x v="6"/>
    <x v="40"/>
    <x v="0"/>
    <x v="5"/>
    <x v="0"/>
    <n v="19840"/>
  </r>
  <r>
    <s v="CSKU00385_2EK"/>
    <x v="1"/>
    <x v="1"/>
    <x v="0"/>
    <x v="1"/>
    <x v="4"/>
    <x v="1"/>
    <x v="40"/>
    <x v="0"/>
    <x v="6"/>
    <x v="0"/>
    <n v="21880"/>
  </r>
  <r>
    <s v="CSKU00386_2EK"/>
    <x v="1"/>
    <x v="1"/>
    <x v="0"/>
    <x v="1"/>
    <x v="1"/>
    <x v="6"/>
    <x v="40"/>
    <x v="0"/>
    <x v="5"/>
    <x v="0"/>
    <n v="21470"/>
  </r>
  <r>
    <s v="CSKU00387_2EK"/>
    <x v="1"/>
    <x v="1"/>
    <x v="0"/>
    <x v="1"/>
    <x v="1"/>
    <x v="1"/>
    <x v="40"/>
    <x v="0"/>
    <x v="6"/>
    <x v="0"/>
    <n v="23830"/>
  </r>
  <r>
    <s v="CSKU00114_2EK"/>
    <x v="1"/>
    <x v="1"/>
    <x v="0"/>
    <x v="1"/>
    <x v="4"/>
    <x v="6"/>
    <x v="41"/>
    <x v="0"/>
    <x v="5"/>
    <x v="0"/>
    <n v="14880"/>
  </r>
  <r>
    <s v="CSKU00115_2EK"/>
    <x v="1"/>
    <x v="1"/>
    <x v="0"/>
    <x v="1"/>
    <x v="4"/>
    <x v="1"/>
    <x v="41"/>
    <x v="0"/>
    <x v="6"/>
    <x v="0"/>
    <n v="16920"/>
  </r>
  <r>
    <s v="CSKU00116_2EK"/>
    <x v="1"/>
    <x v="1"/>
    <x v="0"/>
    <x v="1"/>
    <x v="1"/>
    <x v="6"/>
    <x v="41"/>
    <x v="0"/>
    <x v="5"/>
    <x v="0"/>
    <n v="16060"/>
  </r>
  <r>
    <s v="CSKU00117_2EK"/>
    <x v="1"/>
    <x v="1"/>
    <x v="0"/>
    <x v="1"/>
    <x v="1"/>
    <x v="1"/>
    <x v="41"/>
    <x v="0"/>
    <x v="6"/>
    <x v="0"/>
    <n v="18420"/>
  </r>
  <r>
    <s v="CSKU00118_2EK"/>
    <x v="1"/>
    <x v="1"/>
    <x v="0"/>
    <x v="5"/>
    <x v="4"/>
    <x v="6"/>
    <x v="41"/>
    <x v="0"/>
    <x v="5"/>
    <x v="0"/>
    <n v="17210"/>
  </r>
  <r>
    <s v="CSKU00119_2EK"/>
    <x v="1"/>
    <x v="1"/>
    <x v="0"/>
    <x v="5"/>
    <x v="4"/>
    <x v="1"/>
    <x v="41"/>
    <x v="0"/>
    <x v="6"/>
    <x v="0"/>
    <n v="19460"/>
  </r>
  <r>
    <s v="CSKU00120_2EK"/>
    <x v="1"/>
    <x v="1"/>
    <x v="0"/>
    <x v="5"/>
    <x v="1"/>
    <x v="6"/>
    <x v="41"/>
    <x v="0"/>
    <x v="5"/>
    <x v="0"/>
    <n v="18330"/>
  </r>
  <r>
    <s v="CSKU00121_2EK"/>
    <x v="1"/>
    <x v="1"/>
    <x v="0"/>
    <x v="5"/>
    <x v="1"/>
    <x v="1"/>
    <x v="41"/>
    <x v="0"/>
    <x v="6"/>
    <x v="0"/>
    <n v="21410"/>
  </r>
  <r>
    <s v="CSKU00122_2EK"/>
    <x v="1"/>
    <x v="1"/>
    <x v="0"/>
    <x v="4"/>
    <x v="4"/>
    <x v="6"/>
    <x v="41"/>
    <x v="0"/>
    <x v="5"/>
    <x v="0"/>
    <n v="19290"/>
  </r>
  <r>
    <s v="CSKU00123_2EK"/>
    <x v="1"/>
    <x v="1"/>
    <x v="0"/>
    <x v="4"/>
    <x v="4"/>
    <x v="1"/>
    <x v="41"/>
    <x v="0"/>
    <x v="6"/>
    <x v="0"/>
    <n v="21720"/>
  </r>
  <r>
    <s v="CSKU00124_2EK"/>
    <x v="1"/>
    <x v="1"/>
    <x v="0"/>
    <x v="4"/>
    <x v="1"/>
    <x v="6"/>
    <x v="41"/>
    <x v="0"/>
    <x v="5"/>
    <x v="0"/>
    <n v="20430"/>
  </r>
  <r>
    <s v="CSKU00125_2EK"/>
    <x v="1"/>
    <x v="1"/>
    <x v="0"/>
    <x v="4"/>
    <x v="1"/>
    <x v="1"/>
    <x v="41"/>
    <x v="0"/>
    <x v="6"/>
    <x v="0"/>
    <n v="23700"/>
  </r>
  <r>
    <s v="CSKU00126_2EK"/>
    <x v="1"/>
    <x v="1"/>
    <x v="1"/>
    <x v="1"/>
    <x v="4"/>
    <x v="6"/>
    <x v="41"/>
    <x v="1"/>
    <x v="5"/>
    <x v="0"/>
    <n v="16660"/>
  </r>
  <r>
    <s v="CSKU00127_2EK"/>
    <x v="1"/>
    <x v="1"/>
    <x v="1"/>
    <x v="1"/>
    <x v="4"/>
    <x v="1"/>
    <x v="41"/>
    <x v="1"/>
    <x v="6"/>
    <x v="0"/>
    <n v="18940"/>
  </r>
  <r>
    <s v="CSKU00128_2EK"/>
    <x v="1"/>
    <x v="1"/>
    <x v="1"/>
    <x v="1"/>
    <x v="1"/>
    <x v="6"/>
    <x v="41"/>
    <x v="1"/>
    <x v="5"/>
    <x v="0"/>
    <n v="18000"/>
  </r>
  <r>
    <s v="CSKU00129_2EK"/>
    <x v="1"/>
    <x v="1"/>
    <x v="1"/>
    <x v="1"/>
    <x v="1"/>
    <x v="1"/>
    <x v="41"/>
    <x v="1"/>
    <x v="6"/>
    <x v="0"/>
    <n v="20620"/>
  </r>
  <r>
    <s v="CSKU00130_2EK"/>
    <x v="1"/>
    <x v="1"/>
    <x v="1"/>
    <x v="5"/>
    <x v="4"/>
    <x v="6"/>
    <x v="41"/>
    <x v="1"/>
    <x v="5"/>
    <x v="0"/>
    <n v="19260"/>
  </r>
  <r>
    <s v="CSKU00131_2EK"/>
    <x v="1"/>
    <x v="1"/>
    <x v="1"/>
    <x v="5"/>
    <x v="4"/>
    <x v="1"/>
    <x v="41"/>
    <x v="1"/>
    <x v="6"/>
    <x v="0"/>
    <n v="21780"/>
  </r>
  <r>
    <s v="CSKU00132_2EK"/>
    <x v="1"/>
    <x v="1"/>
    <x v="1"/>
    <x v="5"/>
    <x v="1"/>
    <x v="6"/>
    <x v="41"/>
    <x v="1"/>
    <x v="5"/>
    <x v="0"/>
    <n v="20540"/>
  </r>
  <r>
    <m/>
    <x v="1"/>
    <x v="0"/>
    <x v="1"/>
    <x v="2"/>
    <x v="3"/>
    <x v="5"/>
    <x v="43"/>
    <x v="1"/>
    <x v="4"/>
    <x v="0"/>
    <n v="35110"/>
  </r>
  <r>
    <m/>
    <x v="1"/>
    <x v="0"/>
    <x v="1"/>
    <x v="2"/>
    <x v="3"/>
    <x v="5"/>
    <x v="4"/>
    <x v="1"/>
    <x v="4"/>
    <x v="0"/>
    <n v="35110"/>
  </r>
  <r>
    <m/>
    <x v="1"/>
    <x v="0"/>
    <x v="0"/>
    <x v="3"/>
    <x v="2"/>
    <x v="4"/>
    <x v="44"/>
    <x v="0"/>
    <x v="3"/>
    <x v="0"/>
    <n v="32560"/>
  </r>
  <r>
    <m/>
    <x v="1"/>
    <x v="0"/>
    <x v="0"/>
    <x v="3"/>
    <x v="2"/>
    <x v="4"/>
    <x v="45"/>
    <x v="0"/>
    <x v="3"/>
    <x v="0"/>
    <n v="32560"/>
  </r>
  <r>
    <m/>
    <x v="1"/>
    <x v="0"/>
    <x v="0"/>
    <x v="3"/>
    <x v="2"/>
    <x v="4"/>
    <x v="6"/>
    <x v="0"/>
    <x v="3"/>
    <x v="0"/>
    <n v="32560"/>
  </r>
  <r>
    <m/>
    <x v="1"/>
    <x v="0"/>
    <x v="0"/>
    <x v="3"/>
    <x v="2"/>
    <x v="4"/>
    <x v="46"/>
    <x v="0"/>
    <x v="3"/>
    <x v="0"/>
    <n v="32560"/>
  </r>
  <r>
    <m/>
    <x v="1"/>
    <x v="0"/>
    <x v="0"/>
    <x v="3"/>
    <x v="2"/>
    <x v="4"/>
    <x v="47"/>
    <x v="0"/>
    <x v="3"/>
    <x v="0"/>
    <n v="32560"/>
  </r>
  <r>
    <m/>
    <x v="1"/>
    <x v="0"/>
    <x v="0"/>
    <x v="3"/>
    <x v="2"/>
    <x v="8"/>
    <x v="48"/>
    <x v="0"/>
    <x v="3"/>
    <x v="0"/>
    <n v="37390"/>
  </r>
  <r>
    <m/>
    <x v="1"/>
    <x v="0"/>
    <x v="0"/>
    <x v="3"/>
    <x v="2"/>
    <x v="8"/>
    <x v="49"/>
    <x v="0"/>
    <x v="3"/>
    <x v="0"/>
    <n v="37390"/>
  </r>
  <r>
    <m/>
    <x v="1"/>
    <x v="0"/>
    <x v="0"/>
    <x v="3"/>
    <x v="2"/>
    <x v="8"/>
    <x v="50"/>
    <x v="0"/>
    <x v="3"/>
    <x v="0"/>
    <n v="37390"/>
  </r>
  <r>
    <m/>
    <x v="1"/>
    <x v="0"/>
    <x v="0"/>
    <x v="3"/>
    <x v="2"/>
    <x v="8"/>
    <x v="51"/>
    <x v="0"/>
    <x v="3"/>
    <x v="0"/>
    <n v="37390"/>
  </r>
  <r>
    <m/>
    <x v="1"/>
    <x v="0"/>
    <x v="0"/>
    <x v="3"/>
    <x v="2"/>
    <x v="8"/>
    <x v="52"/>
    <x v="0"/>
    <x v="3"/>
    <x v="0"/>
    <n v="37390"/>
  </r>
  <r>
    <m/>
    <x v="1"/>
    <x v="0"/>
    <x v="0"/>
    <x v="3"/>
    <x v="2"/>
    <x v="8"/>
    <x v="53"/>
    <x v="0"/>
    <x v="3"/>
    <x v="0"/>
    <n v="37390"/>
  </r>
  <r>
    <m/>
    <x v="1"/>
    <x v="0"/>
    <x v="0"/>
    <x v="3"/>
    <x v="2"/>
    <x v="8"/>
    <x v="54"/>
    <x v="0"/>
    <x v="3"/>
    <x v="0"/>
    <n v="37390"/>
  </r>
  <r>
    <m/>
    <x v="1"/>
    <x v="0"/>
    <x v="0"/>
    <x v="3"/>
    <x v="2"/>
    <x v="8"/>
    <x v="55"/>
    <x v="0"/>
    <x v="3"/>
    <x v="0"/>
    <n v="37390"/>
  </r>
  <r>
    <m/>
    <x v="1"/>
    <x v="0"/>
    <x v="1"/>
    <x v="6"/>
    <x v="4"/>
    <x v="6"/>
    <x v="56"/>
    <x v="1"/>
    <x v="3"/>
    <x v="0"/>
    <n v="27470"/>
  </r>
  <r>
    <m/>
    <x v="1"/>
    <x v="0"/>
    <x v="1"/>
    <x v="6"/>
    <x v="4"/>
    <x v="6"/>
    <x v="57"/>
    <x v="1"/>
    <x v="3"/>
    <x v="0"/>
    <n v="27200"/>
  </r>
  <r>
    <m/>
    <x v="1"/>
    <x v="0"/>
    <x v="1"/>
    <x v="6"/>
    <x v="4"/>
    <x v="6"/>
    <x v="58"/>
    <x v="1"/>
    <x v="3"/>
    <x v="0"/>
    <n v="26660"/>
  </r>
  <r>
    <m/>
    <x v="1"/>
    <x v="0"/>
    <x v="1"/>
    <x v="6"/>
    <x v="4"/>
    <x v="6"/>
    <x v="5"/>
    <x v="1"/>
    <x v="3"/>
    <x v="0"/>
    <n v="26930"/>
  </r>
  <r>
    <m/>
    <x v="1"/>
    <x v="0"/>
    <x v="1"/>
    <x v="6"/>
    <x v="4"/>
    <x v="1"/>
    <x v="56"/>
    <x v="1"/>
    <x v="4"/>
    <x v="0"/>
    <n v="30680"/>
  </r>
  <r>
    <m/>
    <x v="1"/>
    <x v="0"/>
    <x v="1"/>
    <x v="6"/>
    <x v="4"/>
    <x v="1"/>
    <x v="57"/>
    <x v="1"/>
    <x v="4"/>
    <x v="0"/>
    <n v="30410"/>
  </r>
  <r>
    <m/>
    <x v="1"/>
    <x v="0"/>
    <x v="1"/>
    <x v="6"/>
    <x v="4"/>
    <x v="1"/>
    <x v="58"/>
    <x v="1"/>
    <x v="4"/>
    <x v="0"/>
    <n v="29870"/>
  </r>
  <r>
    <m/>
    <x v="1"/>
    <x v="0"/>
    <x v="1"/>
    <x v="6"/>
    <x v="4"/>
    <x v="1"/>
    <x v="5"/>
    <x v="1"/>
    <x v="4"/>
    <x v="0"/>
    <n v="30140"/>
  </r>
  <r>
    <m/>
    <x v="1"/>
    <x v="0"/>
    <x v="1"/>
    <x v="6"/>
    <x v="1"/>
    <x v="6"/>
    <x v="56"/>
    <x v="1"/>
    <x v="3"/>
    <x v="0"/>
    <n v="29120"/>
  </r>
  <r>
    <m/>
    <x v="1"/>
    <x v="0"/>
    <x v="1"/>
    <x v="6"/>
    <x v="1"/>
    <x v="6"/>
    <x v="57"/>
    <x v="1"/>
    <x v="3"/>
    <x v="0"/>
    <n v="28910"/>
  </r>
  <r>
    <m/>
    <x v="1"/>
    <x v="0"/>
    <x v="1"/>
    <x v="6"/>
    <x v="1"/>
    <x v="6"/>
    <x v="58"/>
    <x v="1"/>
    <x v="3"/>
    <x v="0"/>
    <n v="28490"/>
  </r>
  <r>
    <m/>
    <x v="1"/>
    <x v="0"/>
    <x v="1"/>
    <x v="6"/>
    <x v="1"/>
    <x v="6"/>
    <x v="5"/>
    <x v="1"/>
    <x v="3"/>
    <x v="0"/>
    <n v="28700"/>
  </r>
  <r>
    <m/>
    <x v="1"/>
    <x v="0"/>
    <x v="1"/>
    <x v="2"/>
    <x v="2"/>
    <x v="5"/>
    <x v="46"/>
    <x v="1"/>
    <x v="3"/>
    <x v="0"/>
    <n v="30900"/>
  </r>
  <r>
    <m/>
    <x v="1"/>
    <x v="0"/>
    <x v="1"/>
    <x v="2"/>
    <x v="2"/>
    <x v="5"/>
    <x v="47"/>
    <x v="1"/>
    <x v="3"/>
    <x v="0"/>
    <n v="30900"/>
  </r>
  <r>
    <m/>
    <x v="1"/>
    <x v="0"/>
    <x v="1"/>
    <x v="2"/>
    <x v="2"/>
    <x v="4"/>
    <x v="48"/>
    <x v="1"/>
    <x v="3"/>
    <x v="0"/>
    <n v="36160"/>
  </r>
  <r>
    <m/>
    <x v="1"/>
    <x v="0"/>
    <x v="1"/>
    <x v="2"/>
    <x v="2"/>
    <x v="4"/>
    <x v="49"/>
    <x v="1"/>
    <x v="3"/>
    <x v="0"/>
    <n v="36160"/>
  </r>
  <r>
    <m/>
    <x v="1"/>
    <x v="0"/>
    <x v="1"/>
    <x v="2"/>
    <x v="2"/>
    <x v="4"/>
    <x v="50"/>
    <x v="1"/>
    <x v="3"/>
    <x v="0"/>
    <n v="36160"/>
  </r>
  <r>
    <m/>
    <x v="1"/>
    <x v="0"/>
    <x v="1"/>
    <x v="2"/>
    <x v="2"/>
    <x v="4"/>
    <x v="51"/>
    <x v="1"/>
    <x v="3"/>
    <x v="0"/>
    <n v="36160"/>
  </r>
  <r>
    <m/>
    <x v="1"/>
    <x v="0"/>
    <x v="1"/>
    <x v="2"/>
    <x v="2"/>
    <x v="4"/>
    <x v="52"/>
    <x v="1"/>
    <x v="3"/>
    <x v="0"/>
    <n v="36160"/>
  </r>
  <r>
    <m/>
    <x v="1"/>
    <x v="0"/>
    <x v="1"/>
    <x v="2"/>
    <x v="2"/>
    <x v="4"/>
    <x v="53"/>
    <x v="1"/>
    <x v="3"/>
    <x v="0"/>
    <n v="36160"/>
  </r>
  <r>
    <m/>
    <x v="1"/>
    <x v="0"/>
    <x v="1"/>
    <x v="2"/>
    <x v="2"/>
    <x v="4"/>
    <x v="54"/>
    <x v="1"/>
    <x v="3"/>
    <x v="0"/>
    <n v="36160"/>
  </r>
  <r>
    <m/>
    <x v="1"/>
    <x v="0"/>
    <x v="1"/>
    <x v="2"/>
    <x v="2"/>
    <x v="4"/>
    <x v="55"/>
    <x v="1"/>
    <x v="3"/>
    <x v="0"/>
    <n v="36160"/>
  </r>
  <r>
    <m/>
    <x v="1"/>
    <x v="0"/>
    <x v="1"/>
    <x v="2"/>
    <x v="2"/>
    <x v="4"/>
    <x v="59"/>
    <x v="1"/>
    <x v="3"/>
    <x v="0"/>
    <n v="36160"/>
  </r>
  <r>
    <m/>
    <x v="1"/>
    <x v="0"/>
    <x v="1"/>
    <x v="2"/>
    <x v="2"/>
    <x v="4"/>
    <x v="60"/>
    <x v="1"/>
    <x v="3"/>
    <x v="0"/>
    <n v="36160"/>
  </r>
  <r>
    <m/>
    <x v="1"/>
    <x v="0"/>
    <x v="1"/>
    <x v="2"/>
    <x v="2"/>
    <x v="4"/>
    <x v="61"/>
    <x v="1"/>
    <x v="3"/>
    <x v="0"/>
    <n v="36160"/>
  </r>
  <r>
    <m/>
    <x v="1"/>
    <x v="0"/>
    <x v="1"/>
    <x v="2"/>
    <x v="2"/>
    <x v="4"/>
    <x v="62"/>
    <x v="1"/>
    <x v="3"/>
    <x v="0"/>
    <n v="36160"/>
  </r>
  <r>
    <m/>
    <x v="1"/>
    <x v="0"/>
    <x v="0"/>
    <x v="3"/>
    <x v="2"/>
    <x v="8"/>
    <x v="59"/>
    <x v="0"/>
    <x v="3"/>
    <x v="0"/>
    <n v="37390"/>
  </r>
  <r>
    <m/>
    <x v="1"/>
    <x v="0"/>
    <x v="1"/>
    <x v="6"/>
    <x v="1"/>
    <x v="1"/>
    <x v="56"/>
    <x v="1"/>
    <x v="4"/>
    <x v="0"/>
    <n v="33590"/>
  </r>
  <r>
    <m/>
    <x v="1"/>
    <x v="0"/>
    <x v="1"/>
    <x v="2"/>
    <x v="2"/>
    <x v="4"/>
    <x v="43"/>
    <x v="1"/>
    <x v="3"/>
    <x v="0"/>
    <n v="36160"/>
  </r>
  <r>
    <m/>
    <x v="1"/>
    <x v="0"/>
    <x v="0"/>
    <x v="3"/>
    <x v="2"/>
    <x v="8"/>
    <x v="60"/>
    <x v="0"/>
    <x v="3"/>
    <x v="0"/>
    <n v="37390"/>
  </r>
  <r>
    <m/>
    <x v="1"/>
    <x v="0"/>
    <x v="0"/>
    <x v="3"/>
    <x v="2"/>
    <x v="8"/>
    <x v="61"/>
    <x v="0"/>
    <x v="3"/>
    <x v="0"/>
    <n v="37390"/>
  </r>
  <r>
    <m/>
    <x v="1"/>
    <x v="0"/>
    <x v="0"/>
    <x v="3"/>
    <x v="2"/>
    <x v="8"/>
    <x v="62"/>
    <x v="0"/>
    <x v="3"/>
    <x v="0"/>
    <n v="37390"/>
  </r>
  <r>
    <m/>
    <x v="1"/>
    <x v="0"/>
    <x v="0"/>
    <x v="3"/>
    <x v="2"/>
    <x v="8"/>
    <x v="43"/>
    <x v="0"/>
    <x v="3"/>
    <x v="0"/>
    <n v="37390"/>
  </r>
  <r>
    <m/>
    <x v="1"/>
    <x v="0"/>
    <x v="0"/>
    <x v="3"/>
    <x v="2"/>
    <x v="8"/>
    <x v="4"/>
    <x v="0"/>
    <x v="3"/>
    <x v="0"/>
    <n v="37390"/>
  </r>
  <r>
    <m/>
    <x v="1"/>
    <x v="0"/>
    <x v="0"/>
    <x v="3"/>
    <x v="2"/>
    <x v="8"/>
    <x v="44"/>
    <x v="0"/>
    <x v="3"/>
    <x v="0"/>
    <n v="37390"/>
  </r>
  <r>
    <m/>
    <x v="1"/>
    <x v="0"/>
    <x v="0"/>
    <x v="3"/>
    <x v="2"/>
    <x v="8"/>
    <x v="45"/>
    <x v="0"/>
    <x v="3"/>
    <x v="0"/>
    <n v="37390"/>
  </r>
  <r>
    <m/>
    <x v="1"/>
    <x v="0"/>
    <x v="0"/>
    <x v="3"/>
    <x v="2"/>
    <x v="8"/>
    <x v="6"/>
    <x v="0"/>
    <x v="3"/>
    <x v="0"/>
    <n v="37390"/>
  </r>
  <r>
    <m/>
    <x v="1"/>
    <x v="0"/>
    <x v="0"/>
    <x v="3"/>
    <x v="2"/>
    <x v="8"/>
    <x v="46"/>
    <x v="0"/>
    <x v="3"/>
    <x v="0"/>
    <n v="37390"/>
  </r>
  <r>
    <m/>
    <x v="1"/>
    <x v="0"/>
    <x v="0"/>
    <x v="3"/>
    <x v="2"/>
    <x v="8"/>
    <x v="47"/>
    <x v="0"/>
    <x v="3"/>
    <x v="0"/>
    <n v="37390"/>
  </r>
  <r>
    <m/>
    <x v="1"/>
    <x v="0"/>
    <x v="0"/>
    <x v="3"/>
    <x v="3"/>
    <x v="5"/>
    <x v="48"/>
    <x v="0"/>
    <x v="4"/>
    <x v="0"/>
    <n v="30600"/>
  </r>
  <r>
    <m/>
    <x v="1"/>
    <x v="0"/>
    <x v="0"/>
    <x v="3"/>
    <x v="3"/>
    <x v="5"/>
    <x v="49"/>
    <x v="0"/>
    <x v="4"/>
    <x v="0"/>
    <n v="30600"/>
  </r>
  <r>
    <m/>
    <x v="1"/>
    <x v="0"/>
    <x v="0"/>
    <x v="3"/>
    <x v="3"/>
    <x v="5"/>
    <x v="50"/>
    <x v="0"/>
    <x v="4"/>
    <x v="0"/>
    <n v="30600"/>
  </r>
  <r>
    <m/>
    <x v="1"/>
    <x v="0"/>
    <x v="0"/>
    <x v="3"/>
    <x v="3"/>
    <x v="5"/>
    <x v="51"/>
    <x v="0"/>
    <x v="4"/>
    <x v="0"/>
    <n v="30600"/>
  </r>
  <r>
    <m/>
    <x v="1"/>
    <x v="0"/>
    <x v="0"/>
    <x v="3"/>
    <x v="3"/>
    <x v="8"/>
    <x v="52"/>
    <x v="0"/>
    <x v="4"/>
    <x v="0"/>
    <n v="40400"/>
  </r>
  <r>
    <m/>
    <x v="1"/>
    <x v="0"/>
    <x v="0"/>
    <x v="3"/>
    <x v="3"/>
    <x v="8"/>
    <x v="53"/>
    <x v="0"/>
    <x v="4"/>
    <x v="0"/>
    <n v="40400"/>
  </r>
  <r>
    <m/>
    <x v="1"/>
    <x v="0"/>
    <x v="1"/>
    <x v="6"/>
    <x v="1"/>
    <x v="1"/>
    <x v="57"/>
    <x v="1"/>
    <x v="4"/>
    <x v="0"/>
    <n v="33380"/>
  </r>
  <r>
    <m/>
    <x v="1"/>
    <x v="0"/>
    <x v="1"/>
    <x v="6"/>
    <x v="1"/>
    <x v="1"/>
    <x v="58"/>
    <x v="1"/>
    <x v="4"/>
    <x v="0"/>
    <n v="32960"/>
  </r>
  <r>
    <m/>
    <x v="1"/>
    <x v="0"/>
    <x v="1"/>
    <x v="6"/>
    <x v="1"/>
    <x v="1"/>
    <x v="5"/>
    <x v="1"/>
    <x v="4"/>
    <x v="0"/>
    <n v="33170"/>
  </r>
  <r>
    <m/>
    <x v="1"/>
    <x v="0"/>
    <x v="1"/>
    <x v="3"/>
    <x v="2"/>
    <x v="5"/>
    <x v="48"/>
    <x v="1"/>
    <x v="3"/>
    <x v="0"/>
    <n v="29050"/>
  </r>
  <r>
    <m/>
    <x v="1"/>
    <x v="0"/>
    <x v="1"/>
    <x v="3"/>
    <x v="2"/>
    <x v="5"/>
    <x v="49"/>
    <x v="1"/>
    <x v="3"/>
    <x v="0"/>
    <n v="29050"/>
  </r>
  <r>
    <m/>
    <x v="1"/>
    <x v="0"/>
    <x v="1"/>
    <x v="3"/>
    <x v="2"/>
    <x v="5"/>
    <x v="50"/>
    <x v="1"/>
    <x v="3"/>
    <x v="0"/>
    <n v="29050"/>
  </r>
  <r>
    <m/>
    <x v="1"/>
    <x v="0"/>
    <x v="1"/>
    <x v="3"/>
    <x v="2"/>
    <x v="5"/>
    <x v="51"/>
    <x v="1"/>
    <x v="3"/>
    <x v="0"/>
    <n v="29050"/>
  </r>
  <r>
    <m/>
    <x v="1"/>
    <x v="0"/>
    <x v="1"/>
    <x v="3"/>
    <x v="2"/>
    <x v="5"/>
    <x v="52"/>
    <x v="1"/>
    <x v="3"/>
    <x v="0"/>
    <n v="29050"/>
  </r>
  <r>
    <m/>
    <x v="1"/>
    <x v="0"/>
    <x v="1"/>
    <x v="3"/>
    <x v="2"/>
    <x v="5"/>
    <x v="53"/>
    <x v="1"/>
    <x v="3"/>
    <x v="0"/>
    <n v="29050"/>
  </r>
  <r>
    <m/>
    <x v="1"/>
    <x v="0"/>
    <x v="1"/>
    <x v="3"/>
    <x v="2"/>
    <x v="5"/>
    <x v="54"/>
    <x v="1"/>
    <x v="3"/>
    <x v="0"/>
    <n v="29050"/>
  </r>
  <r>
    <m/>
    <x v="1"/>
    <x v="0"/>
    <x v="1"/>
    <x v="3"/>
    <x v="2"/>
    <x v="5"/>
    <x v="55"/>
    <x v="1"/>
    <x v="3"/>
    <x v="0"/>
    <n v="29050"/>
  </r>
  <r>
    <m/>
    <x v="1"/>
    <x v="0"/>
    <x v="1"/>
    <x v="3"/>
    <x v="2"/>
    <x v="5"/>
    <x v="59"/>
    <x v="1"/>
    <x v="3"/>
    <x v="0"/>
    <n v="29050"/>
  </r>
  <r>
    <m/>
    <x v="1"/>
    <x v="0"/>
    <x v="1"/>
    <x v="3"/>
    <x v="2"/>
    <x v="5"/>
    <x v="60"/>
    <x v="1"/>
    <x v="3"/>
    <x v="0"/>
    <n v="29050"/>
  </r>
  <r>
    <m/>
    <x v="1"/>
    <x v="0"/>
    <x v="1"/>
    <x v="2"/>
    <x v="2"/>
    <x v="4"/>
    <x v="4"/>
    <x v="1"/>
    <x v="3"/>
    <x v="0"/>
    <n v="36160"/>
  </r>
  <r>
    <m/>
    <x v="1"/>
    <x v="0"/>
    <x v="1"/>
    <x v="2"/>
    <x v="2"/>
    <x v="4"/>
    <x v="44"/>
    <x v="1"/>
    <x v="3"/>
    <x v="0"/>
    <n v="36160"/>
  </r>
  <r>
    <m/>
    <x v="1"/>
    <x v="0"/>
    <x v="1"/>
    <x v="2"/>
    <x v="2"/>
    <x v="4"/>
    <x v="45"/>
    <x v="1"/>
    <x v="3"/>
    <x v="0"/>
    <n v="36160"/>
  </r>
  <r>
    <m/>
    <x v="1"/>
    <x v="0"/>
    <x v="1"/>
    <x v="2"/>
    <x v="2"/>
    <x v="4"/>
    <x v="6"/>
    <x v="1"/>
    <x v="3"/>
    <x v="0"/>
    <n v="36160"/>
  </r>
  <r>
    <m/>
    <x v="1"/>
    <x v="0"/>
    <x v="1"/>
    <x v="2"/>
    <x v="2"/>
    <x v="4"/>
    <x v="46"/>
    <x v="1"/>
    <x v="3"/>
    <x v="0"/>
    <n v="36160"/>
  </r>
  <r>
    <m/>
    <x v="1"/>
    <x v="0"/>
    <x v="1"/>
    <x v="2"/>
    <x v="2"/>
    <x v="4"/>
    <x v="47"/>
    <x v="1"/>
    <x v="3"/>
    <x v="0"/>
    <n v="36160"/>
  </r>
  <r>
    <m/>
    <x v="1"/>
    <x v="0"/>
    <x v="1"/>
    <x v="2"/>
    <x v="2"/>
    <x v="8"/>
    <x v="48"/>
    <x v="1"/>
    <x v="3"/>
    <x v="0"/>
    <n v="41400"/>
  </r>
  <r>
    <m/>
    <x v="1"/>
    <x v="0"/>
    <x v="1"/>
    <x v="2"/>
    <x v="2"/>
    <x v="8"/>
    <x v="49"/>
    <x v="1"/>
    <x v="3"/>
    <x v="0"/>
    <n v="41400"/>
  </r>
  <r>
    <m/>
    <x v="1"/>
    <x v="0"/>
    <x v="1"/>
    <x v="2"/>
    <x v="2"/>
    <x v="8"/>
    <x v="50"/>
    <x v="1"/>
    <x v="3"/>
    <x v="0"/>
    <n v="41400"/>
  </r>
  <r>
    <m/>
    <x v="1"/>
    <x v="0"/>
    <x v="1"/>
    <x v="2"/>
    <x v="2"/>
    <x v="8"/>
    <x v="51"/>
    <x v="1"/>
    <x v="3"/>
    <x v="0"/>
    <n v="41400"/>
  </r>
  <r>
    <m/>
    <x v="1"/>
    <x v="0"/>
    <x v="1"/>
    <x v="2"/>
    <x v="2"/>
    <x v="8"/>
    <x v="52"/>
    <x v="1"/>
    <x v="3"/>
    <x v="0"/>
    <n v="41400"/>
  </r>
  <r>
    <m/>
    <x v="1"/>
    <x v="0"/>
    <x v="1"/>
    <x v="2"/>
    <x v="2"/>
    <x v="8"/>
    <x v="53"/>
    <x v="1"/>
    <x v="3"/>
    <x v="0"/>
    <n v="41400"/>
  </r>
  <r>
    <m/>
    <x v="1"/>
    <x v="0"/>
    <x v="1"/>
    <x v="2"/>
    <x v="2"/>
    <x v="8"/>
    <x v="54"/>
    <x v="1"/>
    <x v="3"/>
    <x v="0"/>
    <n v="41400"/>
  </r>
  <r>
    <m/>
    <x v="1"/>
    <x v="0"/>
    <x v="1"/>
    <x v="2"/>
    <x v="2"/>
    <x v="8"/>
    <x v="55"/>
    <x v="1"/>
    <x v="3"/>
    <x v="0"/>
    <n v="41400"/>
  </r>
  <r>
    <m/>
    <x v="1"/>
    <x v="0"/>
    <x v="1"/>
    <x v="3"/>
    <x v="2"/>
    <x v="8"/>
    <x v="48"/>
    <x v="1"/>
    <x v="3"/>
    <x v="0"/>
    <n v="38870"/>
  </r>
  <r>
    <m/>
    <x v="1"/>
    <x v="0"/>
    <x v="1"/>
    <x v="3"/>
    <x v="2"/>
    <x v="8"/>
    <x v="49"/>
    <x v="1"/>
    <x v="3"/>
    <x v="0"/>
    <n v="38870"/>
  </r>
  <r>
    <m/>
    <x v="1"/>
    <x v="0"/>
    <x v="1"/>
    <x v="2"/>
    <x v="2"/>
    <x v="8"/>
    <x v="59"/>
    <x v="1"/>
    <x v="3"/>
    <x v="0"/>
    <n v="41400"/>
  </r>
  <r>
    <m/>
    <x v="1"/>
    <x v="0"/>
    <x v="1"/>
    <x v="2"/>
    <x v="2"/>
    <x v="8"/>
    <x v="60"/>
    <x v="1"/>
    <x v="3"/>
    <x v="0"/>
    <n v="41400"/>
  </r>
  <r>
    <m/>
    <x v="1"/>
    <x v="0"/>
    <x v="1"/>
    <x v="2"/>
    <x v="2"/>
    <x v="8"/>
    <x v="61"/>
    <x v="1"/>
    <x v="3"/>
    <x v="0"/>
    <n v="41400"/>
  </r>
  <r>
    <m/>
    <x v="1"/>
    <x v="0"/>
    <x v="1"/>
    <x v="2"/>
    <x v="2"/>
    <x v="8"/>
    <x v="62"/>
    <x v="1"/>
    <x v="3"/>
    <x v="0"/>
    <n v="41400"/>
  </r>
  <r>
    <m/>
    <x v="1"/>
    <x v="0"/>
    <x v="1"/>
    <x v="2"/>
    <x v="2"/>
    <x v="8"/>
    <x v="43"/>
    <x v="1"/>
    <x v="3"/>
    <x v="0"/>
    <n v="41400"/>
  </r>
  <r>
    <m/>
    <x v="1"/>
    <x v="0"/>
    <x v="1"/>
    <x v="2"/>
    <x v="2"/>
    <x v="8"/>
    <x v="4"/>
    <x v="1"/>
    <x v="3"/>
    <x v="0"/>
    <n v="41400"/>
  </r>
  <r>
    <m/>
    <x v="1"/>
    <x v="0"/>
    <x v="1"/>
    <x v="2"/>
    <x v="2"/>
    <x v="8"/>
    <x v="44"/>
    <x v="1"/>
    <x v="3"/>
    <x v="0"/>
    <n v="41400"/>
  </r>
  <r>
    <m/>
    <x v="1"/>
    <x v="0"/>
    <x v="1"/>
    <x v="2"/>
    <x v="2"/>
    <x v="8"/>
    <x v="45"/>
    <x v="1"/>
    <x v="3"/>
    <x v="0"/>
    <n v="41400"/>
  </r>
  <r>
    <m/>
    <x v="1"/>
    <x v="0"/>
    <x v="1"/>
    <x v="2"/>
    <x v="2"/>
    <x v="8"/>
    <x v="6"/>
    <x v="1"/>
    <x v="3"/>
    <x v="0"/>
    <n v="41400"/>
  </r>
  <r>
    <m/>
    <x v="1"/>
    <x v="0"/>
    <x v="1"/>
    <x v="2"/>
    <x v="2"/>
    <x v="8"/>
    <x v="46"/>
    <x v="1"/>
    <x v="3"/>
    <x v="0"/>
    <n v="41400"/>
  </r>
  <r>
    <m/>
    <x v="1"/>
    <x v="0"/>
    <x v="1"/>
    <x v="2"/>
    <x v="2"/>
    <x v="8"/>
    <x v="47"/>
    <x v="1"/>
    <x v="3"/>
    <x v="0"/>
    <n v="41400"/>
  </r>
  <r>
    <m/>
    <x v="1"/>
    <x v="0"/>
    <x v="1"/>
    <x v="2"/>
    <x v="3"/>
    <x v="5"/>
    <x v="48"/>
    <x v="1"/>
    <x v="4"/>
    <x v="0"/>
    <n v="35110"/>
  </r>
  <r>
    <m/>
    <x v="1"/>
    <x v="0"/>
    <x v="1"/>
    <x v="2"/>
    <x v="3"/>
    <x v="5"/>
    <x v="49"/>
    <x v="1"/>
    <x v="4"/>
    <x v="0"/>
    <n v="35110"/>
  </r>
  <r>
    <m/>
    <x v="1"/>
    <x v="0"/>
    <x v="1"/>
    <x v="2"/>
    <x v="3"/>
    <x v="5"/>
    <x v="50"/>
    <x v="1"/>
    <x v="4"/>
    <x v="0"/>
    <n v="35110"/>
  </r>
  <r>
    <m/>
    <x v="1"/>
    <x v="0"/>
    <x v="1"/>
    <x v="2"/>
    <x v="3"/>
    <x v="5"/>
    <x v="51"/>
    <x v="1"/>
    <x v="4"/>
    <x v="0"/>
    <n v="35110"/>
  </r>
  <r>
    <m/>
    <x v="1"/>
    <x v="0"/>
    <x v="0"/>
    <x v="3"/>
    <x v="3"/>
    <x v="5"/>
    <x v="52"/>
    <x v="0"/>
    <x v="4"/>
    <x v="0"/>
    <n v="30600"/>
  </r>
  <r>
    <m/>
    <x v="1"/>
    <x v="0"/>
    <x v="1"/>
    <x v="3"/>
    <x v="2"/>
    <x v="5"/>
    <x v="61"/>
    <x v="1"/>
    <x v="3"/>
    <x v="0"/>
    <n v="29050"/>
  </r>
  <r>
    <m/>
    <x v="1"/>
    <x v="0"/>
    <x v="1"/>
    <x v="2"/>
    <x v="3"/>
    <x v="5"/>
    <x v="52"/>
    <x v="1"/>
    <x v="4"/>
    <x v="0"/>
    <n v="35110"/>
  </r>
  <r>
    <m/>
    <x v="1"/>
    <x v="0"/>
    <x v="0"/>
    <x v="3"/>
    <x v="3"/>
    <x v="5"/>
    <x v="53"/>
    <x v="0"/>
    <x v="4"/>
    <x v="0"/>
    <n v="30600"/>
  </r>
  <r>
    <m/>
    <x v="1"/>
    <x v="0"/>
    <x v="0"/>
    <x v="3"/>
    <x v="3"/>
    <x v="5"/>
    <x v="54"/>
    <x v="0"/>
    <x v="4"/>
    <x v="0"/>
    <n v="30600"/>
  </r>
  <r>
    <m/>
    <x v="1"/>
    <x v="0"/>
    <x v="0"/>
    <x v="3"/>
    <x v="3"/>
    <x v="5"/>
    <x v="55"/>
    <x v="0"/>
    <x v="4"/>
    <x v="0"/>
    <n v="30600"/>
  </r>
  <r>
    <m/>
    <x v="1"/>
    <x v="0"/>
    <x v="0"/>
    <x v="3"/>
    <x v="3"/>
    <x v="5"/>
    <x v="59"/>
    <x v="0"/>
    <x v="4"/>
    <x v="0"/>
    <n v="30600"/>
  </r>
  <r>
    <m/>
    <x v="1"/>
    <x v="0"/>
    <x v="0"/>
    <x v="3"/>
    <x v="3"/>
    <x v="5"/>
    <x v="60"/>
    <x v="0"/>
    <x v="4"/>
    <x v="0"/>
    <n v="30600"/>
  </r>
  <r>
    <m/>
    <x v="1"/>
    <x v="0"/>
    <x v="0"/>
    <x v="3"/>
    <x v="3"/>
    <x v="5"/>
    <x v="61"/>
    <x v="0"/>
    <x v="4"/>
    <x v="0"/>
    <n v="30600"/>
  </r>
  <r>
    <m/>
    <x v="1"/>
    <x v="0"/>
    <x v="0"/>
    <x v="3"/>
    <x v="3"/>
    <x v="5"/>
    <x v="62"/>
    <x v="0"/>
    <x v="4"/>
    <x v="0"/>
    <n v="30600"/>
  </r>
  <r>
    <m/>
    <x v="1"/>
    <x v="0"/>
    <x v="0"/>
    <x v="3"/>
    <x v="3"/>
    <x v="5"/>
    <x v="43"/>
    <x v="0"/>
    <x v="4"/>
    <x v="0"/>
    <n v="30600"/>
  </r>
  <r>
    <m/>
    <x v="1"/>
    <x v="0"/>
    <x v="0"/>
    <x v="3"/>
    <x v="3"/>
    <x v="5"/>
    <x v="4"/>
    <x v="0"/>
    <x v="4"/>
    <x v="0"/>
    <n v="30600"/>
  </r>
  <r>
    <m/>
    <x v="1"/>
    <x v="0"/>
    <x v="0"/>
    <x v="3"/>
    <x v="3"/>
    <x v="5"/>
    <x v="44"/>
    <x v="0"/>
    <x v="4"/>
    <x v="0"/>
    <n v="30600"/>
  </r>
  <r>
    <m/>
    <x v="1"/>
    <x v="0"/>
    <x v="0"/>
    <x v="3"/>
    <x v="3"/>
    <x v="5"/>
    <x v="45"/>
    <x v="0"/>
    <x v="4"/>
    <x v="0"/>
    <n v="30600"/>
  </r>
  <r>
    <m/>
    <x v="1"/>
    <x v="0"/>
    <x v="0"/>
    <x v="3"/>
    <x v="3"/>
    <x v="5"/>
    <x v="6"/>
    <x v="0"/>
    <x v="4"/>
    <x v="0"/>
    <n v="30600"/>
  </r>
  <r>
    <m/>
    <x v="1"/>
    <x v="0"/>
    <x v="0"/>
    <x v="3"/>
    <x v="3"/>
    <x v="5"/>
    <x v="46"/>
    <x v="0"/>
    <x v="4"/>
    <x v="0"/>
    <n v="30600"/>
  </r>
  <r>
    <m/>
    <x v="1"/>
    <x v="0"/>
    <x v="0"/>
    <x v="3"/>
    <x v="3"/>
    <x v="5"/>
    <x v="47"/>
    <x v="0"/>
    <x v="4"/>
    <x v="0"/>
    <n v="30600"/>
  </r>
  <r>
    <m/>
    <x v="1"/>
    <x v="0"/>
    <x v="0"/>
    <x v="3"/>
    <x v="3"/>
    <x v="4"/>
    <x v="48"/>
    <x v="0"/>
    <x v="4"/>
    <x v="0"/>
    <n v="35430"/>
  </r>
  <r>
    <m/>
    <x v="1"/>
    <x v="0"/>
    <x v="0"/>
    <x v="3"/>
    <x v="3"/>
    <x v="4"/>
    <x v="49"/>
    <x v="0"/>
    <x v="4"/>
    <x v="0"/>
    <n v="35430"/>
  </r>
  <r>
    <m/>
    <x v="1"/>
    <x v="0"/>
    <x v="0"/>
    <x v="3"/>
    <x v="3"/>
    <x v="4"/>
    <x v="50"/>
    <x v="0"/>
    <x v="4"/>
    <x v="0"/>
    <n v="35430"/>
  </r>
  <r>
    <m/>
    <x v="1"/>
    <x v="0"/>
    <x v="0"/>
    <x v="3"/>
    <x v="3"/>
    <x v="4"/>
    <x v="51"/>
    <x v="0"/>
    <x v="4"/>
    <x v="0"/>
    <n v="35430"/>
  </r>
  <r>
    <m/>
    <x v="1"/>
    <x v="0"/>
    <x v="0"/>
    <x v="3"/>
    <x v="3"/>
    <x v="4"/>
    <x v="52"/>
    <x v="0"/>
    <x v="4"/>
    <x v="0"/>
    <n v="35430"/>
  </r>
  <r>
    <m/>
    <x v="1"/>
    <x v="0"/>
    <x v="0"/>
    <x v="3"/>
    <x v="3"/>
    <x v="4"/>
    <x v="53"/>
    <x v="0"/>
    <x v="4"/>
    <x v="0"/>
    <n v="35430"/>
  </r>
  <r>
    <m/>
    <x v="1"/>
    <x v="0"/>
    <x v="0"/>
    <x v="3"/>
    <x v="3"/>
    <x v="4"/>
    <x v="54"/>
    <x v="0"/>
    <x v="4"/>
    <x v="0"/>
    <n v="35430"/>
  </r>
  <r>
    <m/>
    <x v="1"/>
    <x v="0"/>
    <x v="0"/>
    <x v="3"/>
    <x v="3"/>
    <x v="4"/>
    <x v="55"/>
    <x v="0"/>
    <x v="4"/>
    <x v="0"/>
    <n v="35430"/>
  </r>
  <r>
    <m/>
    <x v="1"/>
    <x v="0"/>
    <x v="0"/>
    <x v="3"/>
    <x v="3"/>
    <x v="4"/>
    <x v="59"/>
    <x v="0"/>
    <x v="4"/>
    <x v="0"/>
    <n v="35430"/>
  </r>
  <r>
    <m/>
    <x v="1"/>
    <x v="0"/>
    <x v="0"/>
    <x v="3"/>
    <x v="3"/>
    <x v="4"/>
    <x v="60"/>
    <x v="0"/>
    <x v="4"/>
    <x v="0"/>
    <n v="35430"/>
  </r>
  <r>
    <m/>
    <x v="1"/>
    <x v="0"/>
    <x v="0"/>
    <x v="3"/>
    <x v="3"/>
    <x v="4"/>
    <x v="61"/>
    <x v="0"/>
    <x v="4"/>
    <x v="0"/>
    <n v="35430"/>
  </r>
  <r>
    <m/>
    <x v="1"/>
    <x v="0"/>
    <x v="0"/>
    <x v="3"/>
    <x v="3"/>
    <x v="4"/>
    <x v="62"/>
    <x v="0"/>
    <x v="4"/>
    <x v="0"/>
    <n v="35430"/>
  </r>
  <r>
    <m/>
    <x v="1"/>
    <x v="0"/>
    <x v="0"/>
    <x v="3"/>
    <x v="3"/>
    <x v="4"/>
    <x v="43"/>
    <x v="0"/>
    <x v="4"/>
    <x v="0"/>
    <n v="35430"/>
  </r>
  <r>
    <m/>
    <x v="1"/>
    <x v="0"/>
    <x v="0"/>
    <x v="3"/>
    <x v="3"/>
    <x v="4"/>
    <x v="4"/>
    <x v="0"/>
    <x v="4"/>
    <x v="0"/>
    <n v="35430"/>
  </r>
  <r>
    <m/>
    <x v="1"/>
    <x v="0"/>
    <x v="1"/>
    <x v="3"/>
    <x v="2"/>
    <x v="5"/>
    <x v="62"/>
    <x v="1"/>
    <x v="3"/>
    <x v="0"/>
    <n v="29050"/>
  </r>
  <r>
    <m/>
    <x v="1"/>
    <x v="0"/>
    <x v="1"/>
    <x v="3"/>
    <x v="2"/>
    <x v="5"/>
    <x v="43"/>
    <x v="1"/>
    <x v="3"/>
    <x v="0"/>
    <n v="29050"/>
  </r>
  <r>
    <m/>
    <x v="1"/>
    <x v="0"/>
    <x v="1"/>
    <x v="3"/>
    <x v="2"/>
    <x v="5"/>
    <x v="4"/>
    <x v="1"/>
    <x v="3"/>
    <x v="0"/>
    <n v="29050"/>
  </r>
  <r>
    <m/>
    <x v="1"/>
    <x v="0"/>
    <x v="1"/>
    <x v="3"/>
    <x v="2"/>
    <x v="5"/>
    <x v="44"/>
    <x v="1"/>
    <x v="3"/>
    <x v="0"/>
    <n v="29050"/>
  </r>
  <r>
    <m/>
    <x v="1"/>
    <x v="0"/>
    <x v="1"/>
    <x v="3"/>
    <x v="2"/>
    <x v="5"/>
    <x v="45"/>
    <x v="1"/>
    <x v="3"/>
    <x v="0"/>
    <n v="29050"/>
  </r>
  <r>
    <m/>
    <x v="1"/>
    <x v="0"/>
    <x v="1"/>
    <x v="3"/>
    <x v="2"/>
    <x v="5"/>
    <x v="6"/>
    <x v="1"/>
    <x v="3"/>
    <x v="0"/>
    <n v="29050"/>
  </r>
  <r>
    <m/>
    <x v="1"/>
    <x v="0"/>
    <x v="1"/>
    <x v="3"/>
    <x v="2"/>
    <x v="5"/>
    <x v="46"/>
    <x v="1"/>
    <x v="3"/>
    <x v="0"/>
    <n v="29050"/>
  </r>
  <r>
    <m/>
    <x v="1"/>
    <x v="0"/>
    <x v="1"/>
    <x v="3"/>
    <x v="2"/>
    <x v="5"/>
    <x v="47"/>
    <x v="1"/>
    <x v="3"/>
    <x v="0"/>
    <n v="29050"/>
  </r>
  <r>
    <m/>
    <x v="1"/>
    <x v="0"/>
    <x v="1"/>
    <x v="3"/>
    <x v="2"/>
    <x v="4"/>
    <x v="48"/>
    <x v="1"/>
    <x v="3"/>
    <x v="0"/>
    <n v="33950"/>
  </r>
  <r>
    <m/>
    <x v="1"/>
    <x v="0"/>
    <x v="1"/>
    <x v="3"/>
    <x v="2"/>
    <x v="4"/>
    <x v="49"/>
    <x v="1"/>
    <x v="3"/>
    <x v="0"/>
    <n v="33950"/>
  </r>
  <r>
    <m/>
    <x v="1"/>
    <x v="0"/>
    <x v="1"/>
    <x v="3"/>
    <x v="2"/>
    <x v="4"/>
    <x v="50"/>
    <x v="1"/>
    <x v="3"/>
    <x v="0"/>
    <n v="33950"/>
  </r>
  <r>
    <m/>
    <x v="1"/>
    <x v="0"/>
    <x v="1"/>
    <x v="3"/>
    <x v="2"/>
    <x v="4"/>
    <x v="51"/>
    <x v="1"/>
    <x v="3"/>
    <x v="0"/>
    <n v="33950"/>
  </r>
  <r>
    <m/>
    <x v="1"/>
    <x v="0"/>
    <x v="1"/>
    <x v="3"/>
    <x v="2"/>
    <x v="4"/>
    <x v="52"/>
    <x v="1"/>
    <x v="3"/>
    <x v="0"/>
    <n v="33950"/>
  </r>
  <r>
    <m/>
    <x v="1"/>
    <x v="0"/>
    <x v="1"/>
    <x v="3"/>
    <x v="2"/>
    <x v="4"/>
    <x v="53"/>
    <x v="1"/>
    <x v="3"/>
    <x v="0"/>
    <n v="33950"/>
  </r>
  <r>
    <m/>
    <x v="1"/>
    <x v="0"/>
    <x v="0"/>
    <x v="3"/>
    <x v="3"/>
    <x v="4"/>
    <x v="44"/>
    <x v="0"/>
    <x v="4"/>
    <x v="0"/>
    <n v="35430"/>
  </r>
  <r>
    <m/>
    <x v="1"/>
    <x v="0"/>
    <x v="1"/>
    <x v="3"/>
    <x v="2"/>
    <x v="4"/>
    <x v="54"/>
    <x v="1"/>
    <x v="3"/>
    <x v="0"/>
    <n v="33950"/>
  </r>
  <r>
    <m/>
    <x v="1"/>
    <x v="0"/>
    <x v="1"/>
    <x v="2"/>
    <x v="3"/>
    <x v="5"/>
    <x v="53"/>
    <x v="1"/>
    <x v="4"/>
    <x v="0"/>
    <n v="35110"/>
  </r>
  <r>
    <m/>
    <x v="1"/>
    <x v="0"/>
    <x v="1"/>
    <x v="2"/>
    <x v="3"/>
    <x v="5"/>
    <x v="54"/>
    <x v="1"/>
    <x v="4"/>
    <x v="0"/>
    <n v="35110"/>
  </r>
  <r>
    <m/>
    <x v="1"/>
    <x v="0"/>
    <x v="1"/>
    <x v="2"/>
    <x v="3"/>
    <x v="5"/>
    <x v="55"/>
    <x v="1"/>
    <x v="4"/>
    <x v="0"/>
    <n v="35110"/>
  </r>
  <r>
    <m/>
    <x v="1"/>
    <x v="0"/>
    <x v="1"/>
    <x v="2"/>
    <x v="3"/>
    <x v="5"/>
    <x v="59"/>
    <x v="1"/>
    <x v="4"/>
    <x v="0"/>
    <n v="35110"/>
  </r>
  <r>
    <m/>
    <x v="1"/>
    <x v="0"/>
    <x v="1"/>
    <x v="2"/>
    <x v="3"/>
    <x v="5"/>
    <x v="60"/>
    <x v="1"/>
    <x v="4"/>
    <x v="0"/>
    <n v="35110"/>
  </r>
  <r>
    <m/>
    <x v="1"/>
    <x v="0"/>
    <x v="1"/>
    <x v="2"/>
    <x v="3"/>
    <x v="5"/>
    <x v="61"/>
    <x v="1"/>
    <x v="4"/>
    <x v="0"/>
    <n v="35110"/>
  </r>
  <r>
    <m/>
    <x v="1"/>
    <x v="0"/>
    <x v="1"/>
    <x v="2"/>
    <x v="3"/>
    <x v="5"/>
    <x v="62"/>
    <x v="1"/>
    <x v="4"/>
    <x v="0"/>
    <n v="35110"/>
  </r>
  <r>
    <m/>
    <x v="1"/>
    <x v="0"/>
    <x v="1"/>
    <x v="3"/>
    <x v="2"/>
    <x v="4"/>
    <x v="55"/>
    <x v="1"/>
    <x v="3"/>
    <x v="0"/>
    <n v="33950"/>
  </r>
  <r>
    <m/>
    <x v="1"/>
    <x v="0"/>
    <x v="1"/>
    <x v="3"/>
    <x v="2"/>
    <x v="4"/>
    <x v="59"/>
    <x v="1"/>
    <x v="3"/>
    <x v="0"/>
    <n v="33950"/>
  </r>
  <r>
    <m/>
    <x v="1"/>
    <x v="0"/>
    <x v="1"/>
    <x v="3"/>
    <x v="2"/>
    <x v="4"/>
    <x v="60"/>
    <x v="1"/>
    <x v="3"/>
    <x v="0"/>
    <n v="33950"/>
  </r>
  <r>
    <m/>
    <x v="1"/>
    <x v="0"/>
    <x v="1"/>
    <x v="3"/>
    <x v="2"/>
    <x v="4"/>
    <x v="61"/>
    <x v="1"/>
    <x v="3"/>
    <x v="0"/>
    <n v="33950"/>
  </r>
  <r>
    <m/>
    <x v="1"/>
    <x v="0"/>
    <x v="1"/>
    <x v="3"/>
    <x v="2"/>
    <x v="4"/>
    <x v="62"/>
    <x v="1"/>
    <x v="3"/>
    <x v="0"/>
    <n v="33950"/>
  </r>
  <r>
    <m/>
    <x v="1"/>
    <x v="0"/>
    <x v="1"/>
    <x v="3"/>
    <x v="2"/>
    <x v="4"/>
    <x v="43"/>
    <x v="1"/>
    <x v="3"/>
    <x v="0"/>
    <n v="33950"/>
  </r>
  <r>
    <m/>
    <x v="1"/>
    <x v="0"/>
    <x v="1"/>
    <x v="3"/>
    <x v="2"/>
    <x v="4"/>
    <x v="4"/>
    <x v="1"/>
    <x v="3"/>
    <x v="0"/>
    <n v="33950"/>
  </r>
  <r>
    <m/>
    <x v="1"/>
    <x v="0"/>
    <x v="1"/>
    <x v="3"/>
    <x v="2"/>
    <x v="4"/>
    <x v="44"/>
    <x v="1"/>
    <x v="3"/>
    <x v="0"/>
    <n v="33950"/>
  </r>
  <r>
    <m/>
    <x v="1"/>
    <x v="0"/>
    <x v="1"/>
    <x v="3"/>
    <x v="2"/>
    <x v="4"/>
    <x v="45"/>
    <x v="1"/>
    <x v="3"/>
    <x v="0"/>
    <n v="33950"/>
  </r>
  <r>
    <m/>
    <x v="1"/>
    <x v="0"/>
    <x v="1"/>
    <x v="3"/>
    <x v="2"/>
    <x v="4"/>
    <x v="6"/>
    <x v="1"/>
    <x v="3"/>
    <x v="0"/>
    <n v="33950"/>
  </r>
  <r>
    <m/>
    <x v="1"/>
    <x v="0"/>
    <x v="1"/>
    <x v="3"/>
    <x v="2"/>
    <x v="4"/>
    <x v="46"/>
    <x v="1"/>
    <x v="3"/>
    <x v="0"/>
    <n v="33950"/>
  </r>
  <r>
    <m/>
    <x v="1"/>
    <x v="0"/>
    <x v="1"/>
    <x v="3"/>
    <x v="2"/>
    <x v="4"/>
    <x v="47"/>
    <x v="1"/>
    <x v="3"/>
    <x v="0"/>
    <n v="33950"/>
  </r>
  <r>
    <m/>
    <x v="1"/>
    <x v="0"/>
    <x v="0"/>
    <x v="3"/>
    <x v="3"/>
    <x v="4"/>
    <x v="45"/>
    <x v="0"/>
    <x v="4"/>
    <x v="0"/>
    <n v="35430"/>
  </r>
  <r>
    <m/>
    <x v="1"/>
    <x v="0"/>
    <x v="0"/>
    <x v="3"/>
    <x v="3"/>
    <x v="4"/>
    <x v="6"/>
    <x v="0"/>
    <x v="4"/>
    <x v="0"/>
    <n v="35430"/>
  </r>
  <r>
    <m/>
    <x v="1"/>
    <x v="0"/>
    <x v="0"/>
    <x v="3"/>
    <x v="3"/>
    <x v="4"/>
    <x v="46"/>
    <x v="0"/>
    <x v="4"/>
    <x v="0"/>
    <n v="35430"/>
  </r>
  <r>
    <m/>
    <x v="1"/>
    <x v="0"/>
    <x v="0"/>
    <x v="3"/>
    <x v="3"/>
    <x v="4"/>
    <x v="47"/>
    <x v="0"/>
    <x v="4"/>
    <x v="0"/>
    <n v="35430"/>
  </r>
  <r>
    <m/>
    <x v="1"/>
    <x v="0"/>
    <x v="0"/>
    <x v="3"/>
    <x v="3"/>
    <x v="8"/>
    <x v="48"/>
    <x v="0"/>
    <x v="4"/>
    <x v="0"/>
    <n v="40400"/>
  </r>
  <r>
    <m/>
    <x v="1"/>
    <x v="0"/>
    <x v="0"/>
    <x v="3"/>
    <x v="3"/>
    <x v="8"/>
    <x v="49"/>
    <x v="0"/>
    <x v="4"/>
    <x v="0"/>
    <n v="40400"/>
  </r>
  <r>
    <m/>
    <x v="1"/>
    <x v="0"/>
    <x v="0"/>
    <x v="3"/>
    <x v="3"/>
    <x v="8"/>
    <x v="50"/>
    <x v="0"/>
    <x v="4"/>
    <x v="0"/>
    <n v="40400"/>
  </r>
  <r>
    <m/>
    <x v="1"/>
    <x v="0"/>
    <x v="0"/>
    <x v="3"/>
    <x v="3"/>
    <x v="8"/>
    <x v="51"/>
    <x v="0"/>
    <x v="4"/>
    <x v="0"/>
    <n v="40400"/>
  </r>
  <r>
    <m/>
    <x v="1"/>
    <x v="1"/>
    <x v="1"/>
    <x v="3"/>
    <x v="3"/>
    <x v="3"/>
    <x v="2"/>
    <x v="1"/>
    <x v="1"/>
    <x v="0"/>
    <n v="26390"/>
  </r>
  <r>
    <m/>
    <x v="1"/>
    <x v="1"/>
    <x v="1"/>
    <x v="3"/>
    <x v="3"/>
    <x v="3"/>
    <x v="63"/>
    <x v="1"/>
    <x v="1"/>
    <x v="0"/>
    <n v="26390"/>
  </r>
  <r>
    <m/>
    <x v="1"/>
    <x v="1"/>
    <x v="1"/>
    <x v="3"/>
    <x v="3"/>
    <x v="3"/>
    <x v="64"/>
    <x v="1"/>
    <x v="1"/>
    <x v="0"/>
    <n v="26390"/>
  </r>
  <r>
    <m/>
    <x v="1"/>
    <x v="1"/>
    <x v="1"/>
    <x v="3"/>
    <x v="3"/>
    <x v="3"/>
    <x v="65"/>
    <x v="1"/>
    <x v="1"/>
    <x v="0"/>
    <n v="26390"/>
  </r>
  <r>
    <m/>
    <x v="1"/>
    <x v="1"/>
    <x v="1"/>
    <x v="3"/>
    <x v="3"/>
    <x v="3"/>
    <x v="66"/>
    <x v="1"/>
    <x v="1"/>
    <x v="0"/>
    <n v="26390"/>
  </r>
  <r>
    <m/>
    <x v="1"/>
    <x v="1"/>
    <x v="1"/>
    <x v="3"/>
    <x v="3"/>
    <x v="3"/>
    <x v="67"/>
    <x v="1"/>
    <x v="1"/>
    <x v="0"/>
    <n v="26390"/>
  </r>
  <r>
    <m/>
    <x v="1"/>
    <x v="1"/>
    <x v="1"/>
    <x v="3"/>
    <x v="3"/>
    <x v="3"/>
    <x v="68"/>
    <x v="1"/>
    <x v="1"/>
    <x v="0"/>
    <n v="26390"/>
  </r>
  <r>
    <m/>
    <x v="1"/>
    <x v="1"/>
    <x v="1"/>
    <x v="3"/>
    <x v="3"/>
    <x v="3"/>
    <x v="69"/>
    <x v="1"/>
    <x v="1"/>
    <x v="0"/>
    <n v="26390"/>
  </r>
  <r>
    <m/>
    <x v="1"/>
    <x v="1"/>
    <x v="1"/>
    <x v="3"/>
    <x v="3"/>
    <x v="3"/>
    <x v="70"/>
    <x v="1"/>
    <x v="1"/>
    <x v="0"/>
    <n v="26390"/>
  </r>
  <r>
    <m/>
    <x v="1"/>
    <x v="1"/>
    <x v="1"/>
    <x v="3"/>
    <x v="3"/>
    <x v="3"/>
    <x v="71"/>
    <x v="1"/>
    <x v="1"/>
    <x v="0"/>
    <n v="26390"/>
  </r>
  <r>
    <m/>
    <x v="1"/>
    <x v="1"/>
    <x v="1"/>
    <x v="3"/>
    <x v="3"/>
    <x v="3"/>
    <x v="72"/>
    <x v="1"/>
    <x v="1"/>
    <x v="0"/>
    <n v="26390"/>
  </r>
  <r>
    <m/>
    <x v="1"/>
    <x v="1"/>
    <x v="1"/>
    <x v="3"/>
    <x v="3"/>
    <x v="3"/>
    <x v="73"/>
    <x v="1"/>
    <x v="1"/>
    <x v="0"/>
    <n v="26390"/>
  </r>
  <r>
    <m/>
    <x v="1"/>
    <x v="1"/>
    <x v="1"/>
    <x v="3"/>
    <x v="3"/>
    <x v="3"/>
    <x v="74"/>
    <x v="1"/>
    <x v="1"/>
    <x v="0"/>
    <n v="26390"/>
  </r>
  <r>
    <m/>
    <x v="1"/>
    <x v="1"/>
    <x v="1"/>
    <x v="3"/>
    <x v="3"/>
    <x v="3"/>
    <x v="75"/>
    <x v="1"/>
    <x v="1"/>
    <x v="0"/>
    <n v="26390"/>
  </r>
  <r>
    <m/>
    <x v="1"/>
    <x v="1"/>
    <x v="1"/>
    <x v="3"/>
    <x v="3"/>
    <x v="3"/>
    <x v="76"/>
    <x v="1"/>
    <x v="1"/>
    <x v="0"/>
    <n v="26390"/>
  </r>
  <r>
    <m/>
    <x v="1"/>
    <x v="1"/>
    <x v="1"/>
    <x v="3"/>
    <x v="3"/>
    <x v="3"/>
    <x v="77"/>
    <x v="1"/>
    <x v="1"/>
    <x v="0"/>
    <n v="26390"/>
  </r>
  <r>
    <m/>
    <x v="1"/>
    <x v="1"/>
    <x v="1"/>
    <x v="3"/>
    <x v="3"/>
    <x v="3"/>
    <x v="78"/>
    <x v="1"/>
    <x v="1"/>
    <x v="0"/>
    <n v="26390"/>
  </r>
  <r>
    <m/>
    <x v="1"/>
    <x v="1"/>
    <x v="1"/>
    <x v="3"/>
    <x v="3"/>
    <x v="3"/>
    <x v="79"/>
    <x v="1"/>
    <x v="1"/>
    <x v="0"/>
    <n v="26390"/>
  </r>
  <r>
    <m/>
    <x v="1"/>
    <x v="1"/>
    <x v="1"/>
    <x v="2"/>
    <x v="3"/>
    <x v="2"/>
    <x v="72"/>
    <x v="1"/>
    <x v="1"/>
    <x v="0"/>
    <n v="25190"/>
  </r>
  <r>
    <m/>
    <x v="1"/>
    <x v="1"/>
    <x v="1"/>
    <x v="2"/>
    <x v="3"/>
    <x v="2"/>
    <x v="77"/>
    <x v="1"/>
    <x v="1"/>
    <x v="0"/>
    <n v="25190"/>
  </r>
  <r>
    <m/>
    <x v="0"/>
    <x v="0"/>
    <x v="0"/>
    <x v="0"/>
    <x v="0"/>
    <x v="0"/>
    <x v="80"/>
    <x v="0"/>
    <x v="10"/>
    <x v="0"/>
    <n v="62520"/>
  </r>
  <r>
    <m/>
    <x v="0"/>
    <x v="0"/>
    <x v="0"/>
    <x v="0"/>
    <x v="0"/>
    <x v="0"/>
    <x v="81"/>
    <x v="0"/>
    <x v="10"/>
    <x v="0"/>
    <n v="62520"/>
  </r>
  <r>
    <m/>
    <x v="0"/>
    <x v="0"/>
    <x v="0"/>
    <x v="0"/>
    <x v="0"/>
    <x v="0"/>
    <x v="82"/>
    <x v="0"/>
    <x v="10"/>
    <x v="0"/>
    <n v="62520"/>
  </r>
  <r>
    <m/>
    <x v="0"/>
    <x v="0"/>
    <x v="0"/>
    <x v="0"/>
    <x v="0"/>
    <x v="0"/>
    <x v="83"/>
    <x v="0"/>
    <x v="10"/>
    <x v="0"/>
    <n v="40910"/>
  </r>
  <r>
    <m/>
    <x v="0"/>
    <x v="0"/>
    <x v="0"/>
    <x v="0"/>
    <x v="0"/>
    <x v="0"/>
    <x v="84"/>
    <x v="0"/>
    <x v="10"/>
    <x v="0"/>
    <n v="40910"/>
  </r>
  <r>
    <m/>
    <x v="0"/>
    <x v="0"/>
    <x v="0"/>
    <x v="6"/>
    <x v="0"/>
    <x v="0"/>
    <x v="85"/>
    <x v="0"/>
    <x v="10"/>
    <x v="0"/>
    <n v="45200"/>
  </r>
  <r>
    <m/>
    <x v="0"/>
    <x v="0"/>
    <x v="0"/>
    <x v="6"/>
    <x v="0"/>
    <x v="0"/>
    <x v="86"/>
    <x v="0"/>
    <x v="10"/>
    <x v="0"/>
    <n v="45200"/>
  </r>
  <r>
    <m/>
    <x v="0"/>
    <x v="0"/>
    <x v="0"/>
    <x v="6"/>
    <x v="0"/>
    <x v="0"/>
    <x v="87"/>
    <x v="0"/>
    <x v="10"/>
    <x v="0"/>
    <n v="45200"/>
  </r>
  <r>
    <m/>
    <x v="0"/>
    <x v="0"/>
    <x v="0"/>
    <x v="6"/>
    <x v="0"/>
    <x v="0"/>
    <x v="88"/>
    <x v="0"/>
    <x v="0"/>
    <x v="0"/>
    <n v="38250"/>
  </r>
  <r>
    <m/>
    <x v="0"/>
    <x v="0"/>
    <x v="0"/>
    <x v="6"/>
    <x v="0"/>
    <x v="0"/>
    <x v="89"/>
    <x v="0"/>
    <x v="0"/>
    <x v="0"/>
    <n v="34510"/>
  </r>
  <r>
    <m/>
    <x v="0"/>
    <x v="0"/>
    <x v="0"/>
    <x v="6"/>
    <x v="0"/>
    <x v="0"/>
    <x v="90"/>
    <x v="0"/>
    <x v="0"/>
    <x v="0"/>
    <n v="36380"/>
  </r>
  <r>
    <m/>
    <x v="0"/>
    <x v="0"/>
    <x v="0"/>
    <x v="6"/>
    <x v="0"/>
    <x v="0"/>
    <x v="91"/>
    <x v="0"/>
    <x v="0"/>
    <x v="0"/>
    <n v="38080"/>
  </r>
  <r>
    <m/>
    <x v="0"/>
    <x v="0"/>
    <x v="0"/>
    <x v="6"/>
    <x v="0"/>
    <x v="0"/>
    <x v="92"/>
    <x v="0"/>
    <x v="0"/>
    <x v="0"/>
    <n v="38080"/>
  </r>
  <r>
    <m/>
    <x v="1"/>
    <x v="1"/>
    <x v="0"/>
    <x v="1"/>
    <x v="1"/>
    <x v="1"/>
    <x v="93"/>
    <x v="0"/>
    <x v="1"/>
    <x v="0"/>
    <n v="19470"/>
  </r>
  <r>
    <m/>
    <x v="1"/>
    <x v="1"/>
    <x v="0"/>
    <x v="5"/>
    <x v="4"/>
    <x v="6"/>
    <x v="94"/>
    <x v="0"/>
    <x v="2"/>
    <x v="0"/>
    <n v="18710"/>
  </r>
  <r>
    <m/>
    <x v="1"/>
    <x v="1"/>
    <x v="0"/>
    <x v="5"/>
    <x v="4"/>
    <x v="6"/>
    <x v="1"/>
    <x v="0"/>
    <x v="2"/>
    <x v="0"/>
    <n v="17210"/>
  </r>
  <r>
    <m/>
    <x v="1"/>
    <x v="1"/>
    <x v="0"/>
    <x v="5"/>
    <x v="4"/>
    <x v="6"/>
    <x v="93"/>
    <x v="0"/>
    <x v="2"/>
    <x v="0"/>
    <n v="17960"/>
  </r>
  <r>
    <m/>
    <x v="1"/>
    <x v="1"/>
    <x v="0"/>
    <x v="5"/>
    <x v="4"/>
    <x v="1"/>
    <x v="94"/>
    <x v="0"/>
    <x v="1"/>
    <x v="0"/>
    <n v="20960"/>
  </r>
  <r>
    <m/>
    <x v="1"/>
    <x v="1"/>
    <x v="0"/>
    <x v="5"/>
    <x v="4"/>
    <x v="1"/>
    <x v="1"/>
    <x v="0"/>
    <x v="1"/>
    <x v="0"/>
    <n v="19460"/>
  </r>
  <r>
    <m/>
    <x v="1"/>
    <x v="1"/>
    <x v="0"/>
    <x v="5"/>
    <x v="4"/>
    <x v="1"/>
    <x v="93"/>
    <x v="0"/>
    <x v="1"/>
    <x v="0"/>
    <n v="20210"/>
  </r>
  <r>
    <m/>
    <x v="1"/>
    <x v="1"/>
    <x v="0"/>
    <x v="5"/>
    <x v="1"/>
    <x v="6"/>
    <x v="94"/>
    <x v="0"/>
    <x v="2"/>
    <x v="0"/>
    <n v="19850"/>
  </r>
  <r>
    <m/>
    <x v="1"/>
    <x v="1"/>
    <x v="0"/>
    <x v="5"/>
    <x v="1"/>
    <x v="6"/>
    <x v="1"/>
    <x v="0"/>
    <x v="2"/>
    <x v="0"/>
    <n v="18330"/>
  </r>
  <r>
    <m/>
    <x v="1"/>
    <x v="1"/>
    <x v="0"/>
    <x v="5"/>
    <x v="1"/>
    <x v="6"/>
    <x v="93"/>
    <x v="0"/>
    <x v="2"/>
    <x v="0"/>
    <n v="19090"/>
  </r>
  <r>
    <m/>
    <x v="1"/>
    <x v="1"/>
    <x v="0"/>
    <x v="5"/>
    <x v="1"/>
    <x v="1"/>
    <x v="94"/>
    <x v="0"/>
    <x v="1"/>
    <x v="0"/>
    <n v="22930"/>
  </r>
  <r>
    <m/>
    <x v="1"/>
    <x v="1"/>
    <x v="0"/>
    <x v="5"/>
    <x v="1"/>
    <x v="1"/>
    <x v="1"/>
    <x v="0"/>
    <x v="1"/>
    <x v="0"/>
    <n v="21410"/>
  </r>
  <r>
    <m/>
    <x v="1"/>
    <x v="1"/>
    <x v="0"/>
    <x v="5"/>
    <x v="1"/>
    <x v="1"/>
    <x v="93"/>
    <x v="0"/>
    <x v="1"/>
    <x v="0"/>
    <n v="22170"/>
  </r>
  <r>
    <m/>
    <x v="1"/>
    <x v="1"/>
    <x v="0"/>
    <x v="2"/>
    <x v="2"/>
    <x v="2"/>
    <x v="63"/>
    <x v="0"/>
    <x v="2"/>
    <x v="0"/>
    <n v="21470"/>
  </r>
  <r>
    <m/>
    <x v="1"/>
    <x v="1"/>
    <x v="0"/>
    <x v="2"/>
    <x v="2"/>
    <x v="2"/>
    <x v="64"/>
    <x v="0"/>
    <x v="2"/>
    <x v="0"/>
    <n v="21470"/>
  </r>
  <r>
    <m/>
    <x v="1"/>
    <x v="1"/>
    <x v="0"/>
    <x v="2"/>
    <x v="2"/>
    <x v="2"/>
    <x v="65"/>
    <x v="0"/>
    <x v="2"/>
    <x v="0"/>
    <n v="21470"/>
  </r>
  <r>
    <m/>
    <x v="1"/>
    <x v="1"/>
    <x v="0"/>
    <x v="2"/>
    <x v="2"/>
    <x v="2"/>
    <x v="66"/>
    <x v="0"/>
    <x v="2"/>
    <x v="0"/>
    <n v="21470"/>
  </r>
  <r>
    <m/>
    <x v="1"/>
    <x v="1"/>
    <x v="0"/>
    <x v="2"/>
    <x v="2"/>
    <x v="2"/>
    <x v="67"/>
    <x v="0"/>
    <x v="2"/>
    <x v="0"/>
    <n v="21470"/>
  </r>
  <r>
    <m/>
    <x v="1"/>
    <x v="1"/>
    <x v="0"/>
    <x v="2"/>
    <x v="2"/>
    <x v="2"/>
    <x v="68"/>
    <x v="0"/>
    <x v="2"/>
    <x v="0"/>
    <n v="21470"/>
  </r>
  <r>
    <m/>
    <x v="1"/>
    <x v="1"/>
    <x v="0"/>
    <x v="2"/>
    <x v="2"/>
    <x v="2"/>
    <x v="69"/>
    <x v="0"/>
    <x v="2"/>
    <x v="0"/>
    <n v="21470"/>
  </r>
  <r>
    <m/>
    <x v="1"/>
    <x v="1"/>
    <x v="0"/>
    <x v="2"/>
    <x v="2"/>
    <x v="2"/>
    <x v="70"/>
    <x v="0"/>
    <x v="2"/>
    <x v="0"/>
    <n v="21470"/>
  </r>
  <r>
    <m/>
    <x v="1"/>
    <x v="1"/>
    <x v="0"/>
    <x v="2"/>
    <x v="2"/>
    <x v="2"/>
    <x v="71"/>
    <x v="0"/>
    <x v="2"/>
    <x v="0"/>
    <n v="21470"/>
  </r>
  <r>
    <m/>
    <x v="1"/>
    <x v="1"/>
    <x v="0"/>
    <x v="2"/>
    <x v="2"/>
    <x v="2"/>
    <x v="72"/>
    <x v="0"/>
    <x v="2"/>
    <x v="0"/>
    <n v="21470"/>
  </r>
  <r>
    <m/>
    <x v="1"/>
    <x v="1"/>
    <x v="0"/>
    <x v="2"/>
    <x v="2"/>
    <x v="2"/>
    <x v="73"/>
    <x v="0"/>
    <x v="2"/>
    <x v="0"/>
    <n v="21470"/>
  </r>
  <r>
    <m/>
    <x v="1"/>
    <x v="1"/>
    <x v="0"/>
    <x v="2"/>
    <x v="2"/>
    <x v="2"/>
    <x v="74"/>
    <x v="0"/>
    <x v="2"/>
    <x v="0"/>
    <n v="21470"/>
  </r>
  <r>
    <m/>
    <x v="1"/>
    <x v="1"/>
    <x v="0"/>
    <x v="2"/>
    <x v="2"/>
    <x v="2"/>
    <x v="75"/>
    <x v="0"/>
    <x v="2"/>
    <x v="0"/>
    <n v="21470"/>
  </r>
  <r>
    <m/>
    <x v="1"/>
    <x v="1"/>
    <x v="0"/>
    <x v="2"/>
    <x v="2"/>
    <x v="2"/>
    <x v="76"/>
    <x v="0"/>
    <x v="2"/>
    <x v="0"/>
    <n v="21470"/>
  </r>
  <r>
    <m/>
    <x v="1"/>
    <x v="1"/>
    <x v="0"/>
    <x v="2"/>
    <x v="2"/>
    <x v="2"/>
    <x v="77"/>
    <x v="0"/>
    <x v="2"/>
    <x v="0"/>
    <n v="21470"/>
  </r>
  <r>
    <m/>
    <x v="1"/>
    <x v="1"/>
    <x v="0"/>
    <x v="2"/>
    <x v="2"/>
    <x v="2"/>
    <x v="78"/>
    <x v="0"/>
    <x v="2"/>
    <x v="0"/>
    <n v="21470"/>
  </r>
  <r>
    <m/>
    <x v="1"/>
    <x v="1"/>
    <x v="0"/>
    <x v="2"/>
    <x v="2"/>
    <x v="2"/>
    <x v="79"/>
    <x v="0"/>
    <x v="2"/>
    <x v="0"/>
    <n v="21470"/>
  </r>
  <r>
    <m/>
    <x v="1"/>
    <x v="1"/>
    <x v="0"/>
    <x v="3"/>
    <x v="2"/>
    <x v="3"/>
    <x v="74"/>
    <x v="0"/>
    <x v="2"/>
    <x v="0"/>
    <n v="22780"/>
  </r>
  <r>
    <m/>
    <x v="1"/>
    <x v="1"/>
    <x v="0"/>
    <x v="3"/>
    <x v="2"/>
    <x v="3"/>
    <x v="75"/>
    <x v="0"/>
    <x v="2"/>
    <x v="0"/>
    <n v="22780"/>
  </r>
  <r>
    <m/>
    <x v="1"/>
    <x v="1"/>
    <x v="0"/>
    <x v="2"/>
    <x v="2"/>
    <x v="3"/>
    <x v="3"/>
    <x v="0"/>
    <x v="2"/>
    <x v="0"/>
    <n v="24190"/>
  </r>
  <r>
    <m/>
    <x v="1"/>
    <x v="1"/>
    <x v="1"/>
    <x v="3"/>
    <x v="3"/>
    <x v="9"/>
    <x v="3"/>
    <x v="1"/>
    <x v="1"/>
    <x v="0"/>
    <n v="28890"/>
  </r>
  <r>
    <m/>
    <x v="1"/>
    <x v="1"/>
    <x v="0"/>
    <x v="2"/>
    <x v="2"/>
    <x v="3"/>
    <x v="2"/>
    <x v="0"/>
    <x v="2"/>
    <x v="0"/>
    <n v="24190"/>
  </r>
  <r>
    <m/>
    <x v="1"/>
    <x v="1"/>
    <x v="0"/>
    <x v="2"/>
    <x v="2"/>
    <x v="3"/>
    <x v="63"/>
    <x v="0"/>
    <x v="2"/>
    <x v="0"/>
    <n v="24190"/>
  </r>
  <r>
    <m/>
    <x v="1"/>
    <x v="1"/>
    <x v="0"/>
    <x v="2"/>
    <x v="2"/>
    <x v="3"/>
    <x v="64"/>
    <x v="0"/>
    <x v="2"/>
    <x v="0"/>
    <n v="24190"/>
  </r>
  <r>
    <m/>
    <x v="1"/>
    <x v="1"/>
    <x v="0"/>
    <x v="2"/>
    <x v="2"/>
    <x v="3"/>
    <x v="65"/>
    <x v="0"/>
    <x v="2"/>
    <x v="0"/>
    <n v="24190"/>
  </r>
  <r>
    <m/>
    <x v="1"/>
    <x v="1"/>
    <x v="0"/>
    <x v="2"/>
    <x v="2"/>
    <x v="3"/>
    <x v="66"/>
    <x v="0"/>
    <x v="2"/>
    <x v="0"/>
    <n v="24190"/>
  </r>
  <r>
    <m/>
    <x v="1"/>
    <x v="1"/>
    <x v="0"/>
    <x v="2"/>
    <x v="2"/>
    <x v="3"/>
    <x v="67"/>
    <x v="0"/>
    <x v="2"/>
    <x v="0"/>
    <n v="24190"/>
  </r>
  <r>
    <m/>
    <x v="1"/>
    <x v="1"/>
    <x v="0"/>
    <x v="2"/>
    <x v="2"/>
    <x v="3"/>
    <x v="68"/>
    <x v="0"/>
    <x v="2"/>
    <x v="0"/>
    <n v="24190"/>
  </r>
  <r>
    <m/>
    <x v="1"/>
    <x v="1"/>
    <x v="0"/>
    <x v="2"/>
    <x v="2"/>
    <x v="3"/>
    <x v="69"/>
    <x v="0"/>
    <x v="2"/>
    <x v="0"/>
    <n v="24190"/>
  </r>
  <r>
    <m/>
    <x v="1"/>
    <x v="1"/>
    <x v="0"/>
    <x v="2"/>
    <x v="2"/>
    <x v="3"/>
    <x v="70"/>
    <x v="0"/>
    <x v="2"/>
    <x v="0"/>
    <n v="24190"/>
  </r>
  <r>
    <m/>
    <x v="1"/>
    <x v="1"/>
    <x v="0"/>
    <x v="2"/>
    <x v="2"/>
    <x v="3"/>
    <x v="71"/>
    <x v="0"/>
    <x v="2"/>
    <x v="0"/>
    <n v="24190"/>
  </r>
  <r>
    <m/>
    <x v="1"/>
    <x v="1"/>
    <x v="0"/>
    <x v="2"/>
    <x v="2"/>
    <x v="3"/>
    <x v="72"/>
    <x v="0"/>
    <x v="2"/>
    <x v="0"/>
    <n v="24190"/>
  </r>
  <r>
    <m/>
    <x v="1"/>
    <x v="1"/>
    <x v="0"/>
    <x v="2"/>
    <x v="2"/>
    <x v="3"/>
    <x v="73"/>
    <x v="0"/>
    <x v="2"/>
    <x v="0"/>
    <n v="24190"/>
  </r>
  <r>
    <m/>
    <x v="1"/>
    <x v="1"/>
    <x v="0"/>
    <x v="2"/>
    <x v="2"/>
    <x v="3"/>
    <x v="74"/>
    <x v="0"/>
    <x v="2"/>
    <x v="0"/>
    <n v="24190"/>
  </r>
  <r>
    <m/>
    <x v="1"/>
    <x v="1"/>
    <x v="0"/>
    <x v="2"/>
    <x v="2"/>
    <x v="3"/>
    <x v="75"/>
    <x v="0"/>
    <x v="2"/>
    <x v="0"/>
    <n v="24190"/>
  </r>
  <r>
    <m/>
    <x v="1"/>
    <x v="1"/>
    <x v="0"/>
    <x v="2"/>
    <x v="2"/>
    <x v="3"/>
    <x v="76"/>
    <x v="0"/>
    <x v="2"/>
    <x v="0"/>
    <n v="24190"/>
  </r>
  <r>
    <m/>
    <x v="1"/>
    <x v="1"/>
    <x v="1"/>
    <x v="3"/>
    <x v="3"/>
    <x v="9"/>
    <x v="2"/>
    <x v="1"/>
    <x v="1"/>
    <x v="0"/>
    <n v="28890"/>
  </r>
  <r>
    <m/>
    <x v="1"/>
    <x v="1"/>
    <x v="1"/>
    <x v="3"/>
    <x v="3"/>
    <x v="9"/>
    <x v="63"/>
    <x v="1"/>
    <x v="1"/>
    <x v="0"/>
    <n v="28890"/>
  </r>
  <r>
    <m/>
    <x v="1"/>
    <x v="1"/>
    <x v="1"/>
    <x v="3"/>
    <x v="3"/>
    <x v="9"/>
    <x v="64"/>
    <x v="1"/>
    <x v="1"/>
    <x v="0"/>
    <n v="28890"/>
  </r>
  <r>
    <m/>
    <x v="1"/>
    <x v="1"/>
    <x v="1"/>
    <x v="3"/>
    <x v="3"/>
    <x v="9"/>
    <x v="65"/>
    <x v="1"/>
    <x v="1"/>
    <x v="0"/>
    <n v="28890"/>
  </r>
  <r>
    <m/>
    <x v="1"/>
    <x v="1"/>
    <x v="1"/>
    <x v="3"/>
    <x v="3"/>
    <x v="9"/>
    <x v="66"/>
    <x v="1"/>
    <x v="1"/>
    <x v="0"/>
    <n v="28890"/>
  </r>
  <r>
    <m/>
    <x v="1"/>
    <x v="1"/>
    <x v="1"/>
    <x v="3"/>
    <x v="3"/>
    <x v="9"/>
    <x v="67"/>
    <x v="1"/>
    <x v="1"/>
    <x v="0"/>
    <n v="28890"/>
  </r>
  <r>
    <m/>
    <x v="1"/>
    <x v="1"/>
    <x v="1"/>
    <x v="3"/>
    <x v="3"/>
    <x v="9"/>
    <x v="68"/>
    <x v="1"/>
    <x v="1"/>
    <x v="0"/>
    <n v="28890"/>
  </r>
  <r>
    <m/>
    <x v="1"/>
    <x v="1"/>
    <x v="1"/>
    <x v="3"/>
    <x v="3"/>
    <x v="9"/>
    <x v="69"/>
    <x v="1"/>
    <x v="1"/>
    <x v="0"/>
    <n v="28890"/>
  </r>
  <r>
    <m/>
    <x v="1"/>
    <x v="1"/>
    <x v="1"/>
    <x v="3"/>
    <x v="3"/>
    <x v="9"/>
    <x v="70"/>
    <x v="1"/>
    <x v="1"/>
    <x v="0"/>
    <n v="28890"/>
  </r>
  <r>
    <m/>
    <x v="1"/>
    <x v="1"/>
    <x v="1"/>
    <x v="3"/>
    <x v="3"/>
    <x v="9"/>
    <x v="71"/>
    <x v="1"/>
    <x v="1"/>
    <x v="0"/>
    <n v="28890"/>
  </r>
  <r>
    <m/>
    <x v="1"/>
    <x v="1"/>
    <x v="1"/>
    <x v="3"/>
    <x v="3"/>
    <x v="9"/>
    <x v="72"/>
    <x v="1"/>
    <x v="1"/>
    <x v="0"/>
    <n v="28890"/>
  </r>
  <r>
    <m/>
    <x v="1"/>
    <x v="1"/>
    <x v="1"/>
    <x v="3"/>
    <x v="3"/>
    <x v="9"/>
    <x v="73"/>
    <x v="1"/>
    <x v="1"/>
    <x v="0"/>
    <n v="28890"/>
  </r>
  <r>
    <m/>
    <x v="1"/>
    <x v="1"/>
    <x v="1"/>
    <x v="3"/>
    <x v="3"/>
    <x v="9"/>
    <x v="74"/>
    <x v="1"/>
    <x v="1"/>
    <x v="0"/>
    <n v="28890"/>
  </r>
  <r>
    <m/>
    <x v="1"/>
    <x v="1"/>
    <x v="1"/>
    <x v="3"/>
    <x v="3"/>
    <x v="9"/>
    <x v="75"/>
    <x v="1"/>
    <x v="1"/>
    <x v="0"/>
    <n v="28890"/>
  </r>
  <r>
    <m/>
    <x v="1"/>
    <x v="1"/>
    <x v="1"/>
    <x v="3"/>
    <x v="3"/>
    <x v="9"/>
    <x v="76"/>
    <x v="1"/>
    <x v="1"/>
    <x v="0"/>
    <n v="28890"/>
  </r>
  <r>
    <m/>
    <x v="1"/>
    <x v="1"/>
    <x v="1"/>
    <x v="3"/>
    <x v="3"/>
    <x v="9"/>
    <x v="77"/>
    <x v="1"/>
    <x v="1"/>
    <x v="0"/>
    <n v="28890"/>
  </r>
  <r>
    <m/>
    <x v="1"/>
    <x v="1"/>
    <x v="1"/>
    <x v="3"/>
    <x v="3"/>
    <x v="9"/>
    <x v="78"/>
    <x v="1"/>
    <x v="1"/>
    <x v="0"/>
    <n v="28890"/>
  </r>
  <r>
    <m/>
    <x v="1"/>
    <x v="1"/>
    <x v="1"/>
    <x v="3"/>
    <x v="3"/>
    <x v="9"/>
    <x v="79"/>
    <x v="1"/>
    <x v="1"/>
    <x v="0"/>
    <n v="28890"/>
  </r>
  <r>
    <m/>
    <x v="1"/>
    <x v="1"/>
    <x v="0"/>
    <x v="4"/>
    <x v="4"/>
    <x v="6"/>
    <x v="94"/>
    <x v="0"/>
    <x v="2"/>
    <x v="0"/>
    <n v="21110"/>
  </r>
  <r>
    <m/>
    <x v="1"/>
    <x v="1"/>
    <x v="0"/>
    <x v="2"/>
    <x v="2"/>
    <x v="3"/>
    <x v="77"/>
    <x v="0"/>
    <x v="2"/>
    <x v="0"/>
    <n v="24190"/>
  </r>
  <r>
    <m/>
    <x v="1"/>
    <x v="1"/>
    <x v="1"/>
    <x v="2"/>
    <x v="2"/>
    <x v="2"/>
    <x v="3"/>
    <x v="1"/>
    <x v="2"/>
    <x v="0"/>
    <n v="22570"/>
  </r>
  <r>
    <m/>
    <x v="1"/>
    <x v="1"/>
    <x v="0"/>
    <x v="4"/>
    <x v="4"/>
    <x v="6"/>
    <x v="1"/>
    <x v="0"/>
    <x v="2"/>
    <x v="0"/>
    <n v="19290"/>
  </r>
  <r>
    <m/>
    <x v="1"/>
    <x v="1"/>
    <x v="0"/>
    <x v="4"/>
    <x v="4"/>
    <x v="6"/>
    <x v="93"/>
    <x v="0"/>
    <x v="2"/>
    <x v="0"/>
    <n v="20200"/>
  </r>
  <r>
    <m/>
    <x v="1"/>
    <x v="1"/>
    <x v="0"/>
    <x v="4"/>
    <x v="4"/>
    <x v="1"/>
    <x v="94"/>
    <x v="0"/>
    <x v="1"/>
    <x v="0"/>
    <n v="23540"/>
  </r>
  <r>
    <m/>
    <x v="1"/>
    <x v="1"/>
    <x v="0"/>
    <x v="4"/>
    <x v="4"/>
    <x v="1"/>
    <x v="1"/>
    <x v="0"/>
    <x v="1"/>
    <x v="0"/>
    <n v="21720"/>
  </r>
  <r>
    <m/>
    <x v="1"/>
    <x v="1"/>
    <x v="0"/>
    <x v="4"/>
    <x v="4"/>
    <x v="1"/>
    <x v="93"/>
    <x v="0"/>
    <x v="1"/>
    <x v="0"/>
    <n v="22630"/>
  </r>
  <r>
    <m/>
    <x v="1"/>
    <x v="1"/>
    <x v="0"/>
    <x v="4"/>
    <x v="1"/>
    <x v="6"/>
    <x v="94"/>
    <x v="0"/>
    <x v="2"/>
    <x v="0"/>
    <n v="22230"/>
  </r>
  <r>
    <m/>
    <x v="1"/>
    <x v="1"/>
    <x v="0"/>
    <x v="4"/>
    <x v="1"/>
    <x v="6"/>
    <x v="1"/>
    <x v="0"/>
    <x v="2"/>
    <x v="0"/>
    <n v="20430"/>
  </r>
  <r>
    <m/>
    <x v="1"/>
    <x v="1"/>
    <x v="0"/>
    <x v="4"/>
    <x v="1"/>
    <x v="6"/>
    <x v="93"/>
    <x v="0"/>
    <x v="2"/>
    <x v="0"/>
    <n v="21330"/>
  </r>
  <r>
    <m/>
    <x v="1"/>
    <x v="1"/>
    <x v="0"/>
    <x v="4"/>
    <x v="1"/>
    <x v="1"/>
    <x v="94"/>
    <x v="0"/>
    <x v="1"/>
    <x v="0"/>
    <n v="25500"/>
  </r>
  <r>
    <m/>
    <x v="1"/>
    <x v="1"/>
    <x v="0"/>
    <x v="4"/>
    <x v="1"/>
    <x v="1"/>
    <x v="1"/>
    <x v="0"/>
    <x v="1"/>
    <x v="0"/>
    <n v="23700"/>
  </r>
  <r>
    <m/>
    <x v="1"/>
    <x v="1"/>
    <x v="0"/>
    <x v="4"/>
    <x v="1"/>
    <x v="1"/>
    <x v="93"/>
    <x v="0"/>
    <x v="1"/>
    <x v="0"/>
    <n v="24600"/>
  </r>
  <r>
    <m/>
    <x v="1"/>
    <x v="1"/>
    <x v="0"/>
    <x v="0"/>
    <x v="4"/>
    <x v="6"/>
    <x v="95"/>
    <x v="0"/>
    <x v="2"/>
    <x v="0"/>
    <n v="23120"/>
  </r>
  <r>
    <m/>
    <x v="1"/>
    <x v="1"/>
    <x v="0"/>
    <x v="0"/>
    <x v="4"/>
    <x v="6"/>
    <x v="96"/>
    <x v="0"/>
    <x v="2"/>
    <x v="0"/>
    <n v="21180"/>
  </r>
  <r>
    <m/>
    <x v="1"/>
    <x v="1"/>
    <x v="0"/>
    <x v="2"/>
    <x v="2"/>
    <x v="3"/>
    <x v="78"/>
    <x v="0"/>
    <x v="2"/>
    <x v="0"/>
    <n v="24190"/>
  </r>
  <r>
    <m/>
    <x v="1"/>
    <x v="1"/>
    <x v="0"/>
    <x v="2"/>
    <x v="2"/>
    <x v="3"/>
    <x v="79"/>
    <x v="0"/>
    <x v="2"/>
    <x v="0"/>
    <n v="24190"/>
  </r>
  <r>
    <m/>
    <x v="1"/>
    <x v="1"/>
    <x v="0"/>
    <x v="2"/>
    <x v="2"/>
    <x v="9"/>
    <x v="3"/>
    <x v="0"/>
    <x v="2"/>
    <x v="0"/>
    <n v="26610"/>
  </r>
  <r>
    <m/>
    <x v="1"/>
    <x v="1"/>
    <x v="0"/>
    <x v="2"/>
    <x v="2"/>
    <x v="9"/>
    <x v="2"/>
    <x v="0"/>
    <x v="2"/>
    <x v="0"/>
    <n v="26610"/>
  </r>
  <r>
    <m/>
    <x v="1"/>
    <x v="1"/>
    <x v="0"/>
    <x v="2"/>
    <x v="2"/>
    <x v="9"/>
    <x v="63"/>
    <x v="0"/>
    <x v="2"/>
    <x v="0"/>
    <n v="26610"/>
  </r>
  <r>
    <m/>
    <x v="1"/>
    <x v="1"/>
    <x v="0"/>
    <x v="2"/>
    <x v="2"/>
    <x v="9"/>
    <x v="64"/>
    <x v="0"/>
    <x v="2"/>
    <x v="0"/>
    <n v="26610"/>
  </r>
  <r>
    <m/>
    <x v="1"/>
    <x v="1"/>
    <x v="0"/>
    <x v="2"/>
    <x v="2"/>
    <x v="9"/>
    <x v="65"/>
    <x v="0"/>
    <x v="2"/>
    <x v="0"/>
    <n v="26610"/>
  </r>
  <r>
    <m/>
    <x v="1"/>
    <x v="1"/>
    <x v="0"/>
    <x v="2"/>
    <x v="2"/>
    <x v="9"/>
    <x v="66"/>
    <x v="0"/>
    <x v="2"/>
    <x v="0"/>
    <n v="26610"/>
  </r>
  <r>
    <m/>
    <x v="1"/>
    <x v="1"/>
    <x v="0"/>
    <x v="2"/>
    <x v="2"/>
    <x v="9"/>
    <x v="67"/>
    <x v="0"/>
    <x v="2"/>
    <x v="0"/>
    <n v="26610"/>
  </r>
  <r>
    <m/>
    <x v="1"/>
    <x v="1"/>
    <x v="0"/>
    <x v="2"/>
    <x v="2"/>
    <x v="9"/>
    <x v="68"/>
    <x v="0"/>
    <x v="2"/>
    <x v="0"/>
    <n v="26610"/>
  </r>
  <r>
    <m/>
    <x v="1"/>
    <x v="1"/>
    <x v="0"/>
    <x v="2"/>
    <x v="2"/>
    <x v="9"/>
    <x v="69"/>
    <x v="0"/>
    <x v="2"/>
    <x v="0"/>
    <n v="26610"/>
  </r>
  <r>
    <m/>
    <x v="1"/>
    <x v="1"/>
    <x v="0"/>
    <x v="2"/>
    <x v="2"/>
    <x v="9"/>
    <x v="70"/>
    <x v="0"/>
    <x v="2"/>
    <x v="0"/>
    <n v="26610"/>
  </r>
  <r>
    <m/>
    <x v="1"/>
    <x v="1"/>
    <x v="0"/>
    <x v="2"/>
    <x v="2"/>
    <x v="9"/>
    <x v="71"/>
    <x v="0"/>
    <x v="2"/>
    <x v="0"/>
    <n v="26610"/>
  </r>
  <r>
    <m/>
    <x v="1"/>
    <x v="1"/>
    <x v="0"/>
    <x v="2"/>
    <x v="2"/>
    <x v="9"/>
    <x v="72"/>
    <x v="0"/>
    <x v="2"/>
    <x v="0"/>
    <n v="26610"/>
  </r>
  <r>
    <m/>
    <x v="1"/>
    <x v="1"/>
    <x v="0"/>
    <x v="2"/>
    <x v="2"/>
    <x v="9"/>
    <x v="73"/>
    <x v="0"/>
    <x v="2"/>
    <x v="0"/>
    <n v="26610"/>
  </r>
  <r>
    <m/>
    <x v="1"/>
    <x v="1"/>
    <x v="1"/>
    <x v="2"/>
    <x v="2"/>
    <x v="2"/>
    <x v="2"/>
    <x v="1"/>
    <x v="2"/>
    <x v="0"/>
    <n v="22570"/>
  </r>
  <r>
    <m/>
    <x v="1"/>
    <x v="1"/>
    <x v="1"/>
    <x v="2"/>
    <x v="2"/>
    <x v="2"/>
    <x v="63"/>
    <x v="1"/>
    <x v="2"/>
    <x v="0"/>
    <n v="22570"/>
  </r>
  <r>
    <m/>
    <x v="1"/>
    <x v="1"/>
    <x v="1"/>
    <x v="2"/>
    <x v="2"/>
    <x v="2"/>
    <x v="64"/>
    <x v="1"/>
    <x v="2"/>
    <x v="0"/>
    <n v="22570"/>
  </r>
  <r>
    <m/>
    <x v="1"/>
    <x v="1"/>
    <x v="1"/>
    <x v="2"/>
    <x v="2"/>
    <x v="2"/>
    <x v="65"/>
    <x v="1"/>
    <x v="2"/>
    <x v="0"/>
    <n v="22570"/>
  </r>
  <r>
    <m/>
    <x v="1"/>
    <x v="1"/>
    <x v="1"/>
    <x v="2"/>
    <x v="2"/>
    <x v="2"/>
    <x v="66"/>
    <x v="1"/>
    <x v="2"/>
    <x v="0"/>
    <n v="22570"/>
  </r>
  <r>
    <m/>
    <x v="1"/>
    <x v="1"/>
    <x v="1"/>
    <x v="2"/>
    <x v="2"/>
    <x v="2"/>
    <x v="67"/>
    <x v="1"/>
    <x v="2"/>
    <x v="0"/>
    <n v="22570"/>
  </r>
  <r>
    <m/>
    <x v="1"/>
    <x v="1"/>
    <x v="1"/>
    <x v="2"/>
    <x v="2"/>
    <x v="2"/>
    <x v="68"/>
    <x v="1"/>
    <x v="2"/>
    <x v="0"/>
    <n v="22570"/>
  </r>
  <r>
    <m/>
    <x v="1"/>
    <x v="1"/>
    <x v="1"/>
    <x v="2"/>
    <x v="2"/>
    <x v="2"/>
    <x v="69"/>
    <x v="1"/>
    <x v="2"/>
    <x v="0"/>
    <n v="22570"/>
  </r>
  <r>
    <m/>
    <x v="1"/>
    <x v="1"/>
    <x v="1"/>
    <x v="2"/>
    <x v="2"/>
    <x v="2"/>
    <x v="70"/>
    <x v="1"/>
    <x v="2"/>
    <x v="0"/>
    <n v="22570"/>
  </r>
  <r>
    <m/>
    <x v="1"/>
    <x v="1"/>
    <x v="1"/>
    <x v="2"/>
    <x v="2"/>
    <x v="2"/>
    <x v="71"/>
    <x v="1"/>
    <x v="2"/>
    <x v="0"/>
    <n v="22570"/>
  </r>
  <r>
    <m/>
    <x v="1"/>
    <x v="1"/>
    <x v="1"/>
    <x v="2"/>
    <x v="2"/>
    <x v="2"/>
    <x v="72"/>
    <x v="1"/>
    <x v="2"/>
    <x v="0"/>
    <n v="22570"/>
  </r>
  <r>
    <m/>
    <x v="1"/>
    <x v="1"/>
    <x v="1"/>
    <x v="2"/>
    <x v="2"/>
    <x v="2"/>
    <x v="73"/>
    <x v="1"/>
    <x v="2"/>
    <x v="0"/>
    <n v="22570"/>
  </r>
  <r>
    <m/>
    <x v="1"/>
    <x v="1"/>
    <x v="1"/>
    <x v="2"/>
    <x v="2"/>
    <x v="2"/>
    <x v="74"/>
    <x v="1"/>
    <x v="2"/>
    <x v="0"/>
    <n v="22570"/>
  </r>
  <r>
    <m/>
    <x v="1"/>
    <x v="1"/>
    <x v="1"/>
    <x v="2"/>
    <x v="2"/>
    <x v="2"/>
    <x v="75"/>
    <x v="1"/>
    <x v="2"/>
    <x v="0"/>
    <n v="22570"/>
  </r>
  <r>
    <m/>
    <x v="1"/>
    <x v="1"/>
    <x v="1"/>
    <x v="2"/>
    <x v="2"/>
    <x v="2"/>
    <x v="76"/>
    <x v="1"/>
    <x v="2"/>
    <x v="0"/>
    <n v="22570"/>
  </r>
  <r>
    <m/>
    <x v="1"/>
    <x v="1"/>
    <x v="1"/>
    <x v="2"/>
    <x v="2"/>
    <x v="2"/>
    <x v="77"/>
    <x v="1"/>
    <x v="2"/>
    <x v="0"/>
    <n v="22570"/>
  </r>
  <r>
    <m/>
    <x v="1"/>
    <x v="1"/>
    <x v="1"/>
    <x v="2"/>
    <x v="2"/>
    <x v="2"/>
    <x v="78"/>
    <x v="1"/>
    <x v="2"/>
    <x v="0"/>
    <n v="22570"/>
  </r>
  <r>
    <m/>
    <x v="1"/>
    <x v="1"/>
    <x v="1"/>
    <x v="2"/>
    <x v="2"/>
    <x v="2"/>
    <x v="79"/>
    <x v="1"/>
    <x v="2"/>
    <x v="0"/>
    <n v="22570"/>
  </r>
  <r>
    <m/>
    <x v="0"/>
    <x v="0"/>
    <x v="0"/>
    <x v="6"/>
    <x v="0"/>
    <x v="0"/>
    <x v="97"/>
    <x v="0"/>
    <x v="0"/>
    <x v="0"/>
    <n v="38080"/>
  </r>
  <r>
    <m/>
    <x v="1"/>
    <x v="1"/>
    <x v="0"/>
    <x v="0"/>
    <x v="4"/>
    <x v="6"/>
    <x v="98"/>
    <x v="0"/>
    <x v="2"/>
    <x v="0"/>
    <n v="22150"/>
  </r>
  <r>
    <m/>
    <x v="1"/>
    <x v="1"/>
    <x v="0"/>
    <x v="2"/>
    <x v="2"/>
    <x v="9"/>
    <x v="74"/>
    <x v="0"/>
    <x v="2"/>
    <x v="0"/>
    <n v="26610"/>
  </r>
  <r>
    <m/>
    <x v="1"/>
    <x v="1"/>
    <x v="1"/>
    <x v="2"/>
    <x v="2"/>
    <x v="3"/>
    <x v="3"/>
    <x v="1"/>
    <x v="2"/>
    <x v="0"/>
    <n v="25300"/>
  </r>
  <r>
    <m/>
    <x v="0"/>
    <x v="1"/>
    <x v="0"/>
    <x v="1"/>
    <x v="0"/>
    <x v="0"/>
    <x v="99"/>
    <x v="0"/>
    <x v="11"/>
    <x v="0"/>
    <n v="23160"/>
  </r>
  <r>
    <m/>
    <x v="0"/>
    <x v="1"/>
    <x v="0"/>
    <x v="1"/>
    <x v="0"/>
    <x v="0"/>
    <x v="100"/>
    <x v="0"/>
    <x v="11"/>
    <x v="0"/>
    <n v="24970"/>
  </r>
  <r>
    <m/>
    <x v="0"/>
    <x v="1"/>
    <x v="0"/>
    <x v="1"/>
    <x v="0"/>
    <x v="0"/>
    <x v="101"/>
    <x v="0"/>
    <x v="11"/>
    <x v="0"/>
    <n v="26520"/>
  </r>
  <r>
    <m/>
    <x v="0"/>
    <x v="1"/>
    <x v="0"/>
    <x v="1"/>
    <x v="0"/>
    <x v="0"/>
    <x v="102"/>
    <x v="0"/>
    <x v="11"/>
    <x v="0"/>
    <n v="26520"/>
  </r>
  <r>
    <m/>
    <x v="0"/>
    <x v="1"/>
    <x v="0"/>
    <x v="1"/>
    <x v="0"/>
    <x v="0"/>
    <x v="103"/>
    <x v="0"/>
    <x v="11"/>
    <x v="0"/>
    <n v="26520"/>
  </r>
  <r>
    <m/>
    <x v="0"/>
    <x v="1"/>
    <x v="0"/>
    <x v="1"/>
    <x v="0"/>
    <x v="0"/>
    <x v="104"/>
    <x v="0"/>
    <x v="11"/>
    <x v="0"/>
    <n v="26520"/>
  </r>
  <r>
    <m/>
    <x v="0"/>
    <x v="1"/>
    <x v="0"/>
    <x v="1"/>
    <x v="0"/>
    <x v="0"/>
    <x v="105"/>
    <x v="0"/>
    <x v="11"/>
    <x v="0"/>
    <n v="26520"/>
  </r>
  <r>
    <m/>
    <x v="0"/>
    <x v="1"/>
    <x v="0"/>
    <x v="1"/>
    <x v="0"/>
    <x v="0"/>
    <x v="85"/>
    <x v="0"/>
    <x v="12"/>
    <x v="0"/>
    <n v="29880"/>
  </r>
  <r>
    <m/>
    <x v="0"/>
    <x v="1"/>
    <x v="0"/>
    <x v="1"/>
    <x v="0"/>
    <x v="0"/>
    <x v="86"/>
    <x v="0"/>
    <x v="12"/>
    <x v="0"/>
    <n v="59760"/>
  </r>
  <r>
    <m/>
    <x v="0"/>
    <x v="1"/>
    <x v="0"/>
    <x v="1"/>
    <x v="0"/>
    <x v="0"/>
    <x v="87"/>
    <x v="0"/>
    <x v="12"/>
    <x v="0"/>
    <n v="29880"/>
  </r>
  <r>
    <m/>
    <x v="0"/>
    <x v="1"/>
    <x v="0"/>
    <x v="1"/>
    <x v="0"/>
    <x v="0"/>
    <x v="106"/>
    <x v="0"/>
    <x v="12"/>
    <x v="0"/>
    <n v="29880"/>
  </r>
  <r>
    <m/>
    <x v="0"/>
    <x v="1"/>
    <x v="0"/>
    <x v="1"/>
    <x v="0"/>
    <x v="0"/>
    <x v="107"/>
    <x v="0"/>
    <x v="12"/>
    <x v="0"/>
    <n v="29880"/>
  </r>
  <r>
    <m/>
    <x v="0"/>
    <x v="1"/>
    <x v="0"/>
    <x v="5"/>
    <x v="0"/>
    <x v="0"/>
    <x v="99"/>
    <x v="0"/>
    <x v="11"/>
    <x v="0"/>
    <n v="24710"/>
  </r>
  <r>
    <m/>
    <x v="0"/>
    <x v="1"/>
    <x v="0"/>
    <x v="5"/>
    <x v="0"/>
    <x v="0"/>
    <x v="100"/>
    <x v="0"/>
    <x v="11"/>
    <x v="0"/>
    <n v="26580"/>
  </r>
  <r>
    <m/>
    <x v="0"/>
    <x v="0"/>
    <x v="0"/>
    <x v="6"/>
    <x v="0"/>
    <x v="0"/>
    <x v="108"/>
    <x v="0"/>
    <x v="0"/>
    <x v="0"/>
    <n v="38080"/>
  </r>
  <r>
    <m/>
    <x v="0"/>
    <x v="0"/>
    <x v="0"/>
    <x v="6"/>
    <x v="0"/>
    <x v="0"/>
    <x v="109"/>
    <x v="0"/>
    <x v="0"/>
    <x v="0"/>
    <n v="38080"/>
  </r>
  <r>
    <m/>
    <x v="0"/>
    <x v="0"/>
    <x v="0"/>
    <x v="6"/>
    <x v="0"/>
    <x v="0"/>
    <x v="110"/>
    <x v="0"/>
    <x v="0"/>
    <x v="0"/>
    <n v="41650"/>
  </r>
  <r>
    <m/>
    <x v="0"/>
    <x v="0"/>
    <x v="0"/>
    <x v="6"/>
    <x v="0"/>
    <x v="0"/>
    <x v="111"/>
    <x v="0"/>
    <x v="0"/>
    <x v="0"/>
    <n v="41650"/>
  </r>
  <r>
    <m/>
    <x v="0"/>
    <x v="0"/>
    <x v="0"/>
    <x v="6"/>
    <x v="0"/>
    <x v="0"/>
    <x v="112"/>
    <x v="0"/>
    <x v="0"/>
    <x v="0"/>
    <n v="41650"/>
  </r>
  <r>
    <m/>
    <x v="0"/>
    <x v="0"/>
    <x v="0"/>
    <x v="6"/>
    <x v="0"/>
    <x v="0"/>
    <x v="113"/>
    <x v="0"/>
    <x v="0"/>
    <x v="0"/>
    <n v="41650"/>
  </r>
  <r>
    <m/>
    <x v="0"/>
    <x v="0"/>
    <x v="0"/>
    <x v="6"/>
    <x v="0"/>
    <x v="0"/>
    <x v="0"/>
    <x v="0"/>
    <x v="0"/>
    <x v="0"/>
    <n v="41650"/>
  </r>
  <r>
    <m/>
    <x v="0"/>
    <x v="0"/>
    <x v="0"/>
    <x v="6"/>
    <x v="0"/>
    <x v="0"/>
    <x v="80"/>
    <x v="0"/>
    <x v="10"/>
    <x v="0"/>
    <n v="45200"/>
  </r>
  <r>
    <m/>
    <x v="0"/>
    <x v="0"/>
    <x v="0"/>
    <x v="6"/>
    <x v="0"/>
    <x v="0"/>
    <x v="81"/>
    <x v="0"/>
    <x v="10"/>
    <x v="0"/>
    <n v="45200"/>
  </r>
  <r>
    <m/>
    <x v="0"/>
    <x v="0"/>
    <x v="0"/>
    <x v="6"/>
    <x v="0"/>
    <x v="0"/>
    <x v="82"/>
    <x v="0"/>
    <x v="10"/>
    <x v="0"/>
    <n v="45200"/>
  </r>
  <r>
    <m/>
    <x v="0"/>
    <x v="0"/>
    <x v="0"/>
    <x v="6"/>
    <x v="0"/>
    <x v="0"/>
    <x v="83"/>
    <x v="0"/>
    <x v="10"/>
    <x v="0"/>
    <n v="45200"/>
  </r>
  <r>
    <m/>
    <x v="0"/>
    <x v="0"/>
    <x v="0"/>
    <x v="6"/>
    <x v="0"/>
    <x v="0"/>
    <x v="84"/>
    <x v="0"/>
    <x v="10"/>
    <x v="0"/>
    <n v="45200"/>
  </r>
  <r>
    <m/>
    <x v="0"/>
    <x v="0"/>
    <x v="1"/>
    <x v="0"/>
    <x v="0"/>
    <x v="0"/>
    <x v="85"/>
    <x v="1"/>
    <x v="10"/>
    <x v="0"/>
    <n v="21620"/>
  </r>
  <r>
    <m/>
    <x v="0"/>
    <x v="0"/>
    <x v="1"/>
    <x v="0"/>
    <x v="0"/>
    <x v="0"/>
    <x v="86"/>
    <x v="1"/>
    <x v="10"/>
    <x v="0"/>
    <n v="21620"/>
  </r>
  <r>
    <m/>
    <x v="1"/>
    <x v="1"/>
    <x v="0"/>
    <x v="0"/>
    <x v="4"/>
    <x v="1"/>
    <x v="95"/>
    <x v="0"/>
    <x v="1"/>
    <x v="0"/>
    <n v="25990"/>
  </r>
  <r>
    <m/>
    <x v="1"/>
    <x v="1"/>
    <x v="0"/>
    <x v="0"/>
    <x v="4"/>
    <x v="1"/>
    <x v="96"/>
    <x v="0"/>
    <x v="1"/>
    <x v="0"/>
    <n v="24050"/>
  </r>
  <r>
    <m/>
    <x v="1"/>
    <x v="1"/>
    <x v="0"/>
    <x v="0"/>
    <x v="4"/>
    <x v="1"/>
    <x v="98"/>
    <x v="0"/>
    <x v="1"/>
    <x v="0"/>
    <n v="25020"/>
  </r>
  <r>
    <m/>
    <x v="1"/>
    <x v="1"/>
    <x v="0"/>
    <x v="0"/>
    <x v="1"/>
    <x v="6"/>
    <x v="95"/>
    <x v="0"/>
    <x v="2"/>
    <x v="0"/>
    <n v="24390"/>
  </r>
  <r>
    <m/>
    <x v="1"/>
    <x v="1"/>
    <x v="0"/>
    <x v="0"/>
    <x v="1"/>
    <x v="6"/>
    <x v="96"/>
    <x v="0"/>
    <x v="2"/>
    <x v="0"/>
    <n v="22470"/>
  </r>
  <r>
    <m/>
    <x v="1"/>
    <x v="1"/>
    <x v="0"/>
    <x v="0"/>
    <x v="1"/>
    <x v="6"/>
    <x v="98"/>
    <x v="0"/>
    <x v="2"/>
    <x v="0"/>
    <n v="23430"/>
  </r>
  <r>
    <m/>
    <x v="1"/>
    <x v="1"/>
    <x v="0"/>
    <x v="0"/>
    <x v="1"/>
    <x v="1"/>
    <x v="95"/>
    <x v="0"/>
    <x v="1"/>
    <x v="0"/>
    <n v="28160"/>
  </r>
  <r>
    <m/>
    <x v="1"/>
    <x v="1"/>
    <x v="0"/>
    <x v="0"/>
    <x v="1"/>
    <x v="1"/>
    <x v="96"/>
    <x v="0"/>
    <x v="1"/>
    <x v="0"/>
    <n v="26240"/>
  </r>
  <r>
    <m/>
    <x v="1"/>
    <x v="1"/>
    <x v="0"/>
    <x v="0"/>
    <x v="1"/>
    <x v="1"/>
    <x v="98"/>
    <x v="0"/>
    <x v="1"/>
    <x v="0"/>
    <n v="27200"/>
  </r>
  <r>
    <m/>
    <x v="1"/>
    <x v="1"/>
    <x v="0"/>
    <x v="3"/>
    <x v="2"/>
    <x v="2"/>
    <x v="3"/>
    <x v="0"/>
    <x v="2"/>
    <x v="0"/>
    <n v="19840"/>
  </r>
  <r>
    <m/>
    <x v="1"/>
    <x v="1"/>
    <x v="0"/>
    <x v="3"/>
    <x v="2"/>
    <x v="2"/>
    <x v="2"/>
    <x v="0"/>
    <x v="2"/>
    <x v="0"/>
    <n v="19840"/>
  </r>
  <r>
    <m/>
    <x v="1"/>
    <x v="1"/>
    <x v="0"/>
    <x v="3"/>
    <x v="2"/>
    <x v="2"/>
    <x v="63"/>
    <x v="0"/>
    <x v="2"/>
    <x v="0"/>
    <n v="19840"/>
  </r>
  <r>
    <m/>
    <x v="1"/>
    <x v="1"/>
    <x v="0"/>
    <x v="3"/>
    <x v="2"/>
    <x v="2"/>
    <x v="64"/>
    <x v="0"/>
    <x v="2"/>
    <x v="0"/>
    <n v="19840"/>
  </r>
  <r>
    <m/>
    <x v="1"/>
    <x v="1"/>
    <x v="0"/>
    <x v="2"/>
    <x v="2"/>
    <x v="9"/>
    <x v="75"/>
    <x v="0"/>
    <x v="2"/>
    <x v="0"/>
    <n v="26610"/>
  </r>
  <r>
    <m/>
    <x v="1"/>
    <x v="1"/>
    <x v="0"/>
    <x v="2"/>
    <x v="2"/>
    <x v="9"/>
    <x v="76"/>
    <x v="0"/>
    <x v="2"/>
    <x v="0"/>
    <n v="26610"/>
  </r>
  <r>
    <m/>
    <x v="1"/>
    <x v="1"/>
    <x v="0"/>
    <x v="2"/>
    <x v="2"/>
    <x v="9"/>
    <x v="77"/>
    <x v="0"/>
    <x v="2"/>
    <x v="0"/>
    <n v="26610"/>
  </r>
  <r>
    <m/>
    <x v="1"/>
    <x v="1"/>
    <x v="0"/>
    <x v="2"/>
    <x v="2"/>
    <x v="9"/>
    <x v="78"/>
    <x v="0"/>
    <x v="2"/>
    <x v="0"/>
    <n v="26610"/>
  </r>
  <r>
    <m/>
    <x v="1"/>
    <x v="1"/>
    <x v="0"/>
    <x v="2"/>
    <x v="2"/>
    <x v="9"/>
    <x v="79"/>
    <x v="0"/>
    <x v="2"/>
    <x v="0"/>
    <n v="26610"/>
  </r>
  <r>
    <m/>
    <x v="1"/>
    <x v="1"/>
    <x v="0"/>
    <x v="2"/>
    <x v="3"/>
    <x v="2"/>
    <x v="3"/>
    <x v="0"/>
    <x v="1"/>
    <x v="0"/>
    <n v="23830"/>
  </r>
  <r>
    <m/>
    <x v="1"/>
    <x v="1"/>
    <x v="0"/>
    <x v="2"/>
    <x v="3"/>
    <x v="2"/>
    <x v="2"/>
    <x v="0"/>
    <x v="1"/>
    <x v="0"/>
    <n v="23830"/>
  </r>
  <r>
    <m/>
    <x v="1"/>
    <x v="1"/>
    <x v="0"/>
    <x v="2"/>
    <x v="3"/>
    <x v="2"/>
    <x v="63"/>
    <x v="0"/>
    <x v="1"/>
    <x v="0"/>
    <n v="23830"/>
  </r>
  <r>
    <m/>
    <x v="1"/>
    <x v="1"/>
    <x v="0"/>
    <x v="2"/>
    <x v="3"/>
    <x v="2"/>
    <x v="64"/>
    <x v="0"/>
    <x v="1"/>
    <x v="0"/>
    <n v="23830"/>
  </r>
  <r>
    <m/>
    <x v="1"/>
    <x v="1"/>
    <x v="0"/>
    <x v="2"/>
    <x v="3"/>
    <x v="2"/>
    <x v="65"/>
    <x v="0"/>
    <x v="1"/>
    <x v="0"/>
    <n v="23830"/>
  </r>
  <r>
    <m/>
    <x v="1"/>
    <x v="1"/>
    <x v="0"/>
    <x v="2"/>
    <x v="3"/>
    <x v="2"/>
    <x v="66"/>
    <x v="0"/>
    <x v="1"/>
    <x v="0"/>
    <n v="23830"/>
  </r>
  <r>
    <m/>
    <x v="1"/>
    <x v="1"/>
    <x v="0"/>
    <x v="2"/>
    <x v="3"/>
    <x v="2"/>
    <x v="67"/>
    <x v="0"/>
    <x v="1"/>
    <x v="0"/>
    <n v="23830"/>
  </r>
  <r>
    <m/>
    <x v="1"/>
    <x v="1"/>
    <x v="0"/>
    <x v="2"/>
    <x v="3"/>
    <x v="2"/>
    <x v="68"/>
    <x v="0"/>
    <x v="1"/>
    <x v="0"/>
    <n v="23830"/>
  </r>
  <r>
    <m/>
    <x v="1"/>
    <x v="1"/>
    <x v="0"/>
    <x v="2"/>
    <x v="3"/>
    <x v="2"/>
    <x v="69"/>
    <x v="0"/>
    <x v="1"/>
    <x v="0"/>
    <n v="23830"/>
  </r>
  <r>
    <m/>
    <x v="1"/>
    <x v="1"/>
    <x v="0"/>
    <x v="2"/>
    <x v="3"/>
    <x v="2"/>
    <x v="70"/>
    <x v="0"/>
    <x v="1"/>
    <x v="0"/>
    <n v="23830"/>
  </r>
  <r>
    <m/>
    <x v="1"/>
    <x v="1"/>
    <x v="1"/>
    <x v="2"/>
    <x v="2"/>
    <x v="3"/>
    <x v="2"/>
    <x v="1"/>
    <x v="2"/>
    <x v="0"/>
    <n v="25300"/>
  </r>
  <r>
    <m/>
    <x v="1"/>
    <x v="1"/>
    <x v="1"/>
    <x v="2"/>
    <x v="2"/>
    <x v="3"/>
    <x v="63"/>
    <x v="1"/>
    <x v="2"/>
    <x v="0"/>
    <n v="25300"/>
  </r>
  <r>
    <m/>
    <x v="1"/>
    <x v="1"/>
    <x v="1"/>
    <x v="2"/>
    <x v="2"/>
    <x v="3"/>
    <x v="64"/>
    <x v="1"/>
    <x v="2"/>
    <x v="0"/>
    <n v="25300"/>
  </r>
  <r>
    <m/>
    <x v="1"/>
    <x v="1"/>
    <x v="1"/>
    <x v="2"/>
    <x v="2"/>
    <x v="3"/>
    <x v="65"/>
    <x v="1"/>
    <x v="2"/>
    <x v="0"/>
    <n v="25300"/>
  </r>
  <r>
    <m/>
    <x v="1"/>
    <x v="1"/>
    <x v="1"/>
    <x v="2"/>
    <x v="2"/>
    <x v="3"/>
    <x v="66"/>
    <x v="1"/>
    <x v="2"/>
    <x v="0"/>
    <n v="25300"/>
  </r>
  <r>
    <m/>
    <x v="1"/>
    <x v="1"/>
    <x v="1"/>
    <x v="2"/>
    <x v="2"/>
    <x v="3"/>
    <x v="67"/>
    <x v="1"/>
    <x v="2"/>
    <x v="0"/>
    <n v="25300"/>
  </r>
  <r>
    <m/>
    <x v="1"/>
    <x v="1"/>
    <x v="1"/>
    <x v="2"/>
    <x v="2"/>
    <x v="3"/>
    <x v="68"/>
    <x v="1"/>
    <x v="2"/>
    <x v="0"/>
    <n v="25300"/>
  </r>
  <r>
    <m/>
    <x v="1"/>
    <x v="1"/>
    <x v="1"/>
    <x v="2"/>
    <x v="2"/>
    <x v="3"/>
    <x v="69"/>
    <x v="1"/>
    <x v="2"/>
    <x v="0"/>
    <n v="25300"/>
  </r>
  <r>
    <m/>
    <x v="1"/>
    <x v="1"/>
    <x v="1"/>
    <x v="2"/>
    <x v="2"/>
    <x v="3"/>
    <x v="70"/>
    <x v="1"/>
    <x v="2"/>
    <x v="0"/>
    <n v="25300"/>
  </r>
  <r>
    <m/>
    <x v="1"/>
    <x v="1"/>
    <x v="1"/>
    <x v="2"/>
    <x v="2"/>
    <x v="3"/>
    <x v="71"/>
    <x v="1"/>
    <x v="2"/>
    <x v="0"/>
    <n v="25300"/>
  </r>
  <r>
    <m/>
    <x v="1"/>
    <x v="1"/>
    <x v="1"/>
    <x v="2"/>
    <x v="2"/>
    <x v="3"/>
    <x v="72"/>
    <x v="1"/>
    <x v="2"/>
    <x v="0"/>
    <n v="25300"/>
  </r>
  <r>
    <m/>
    <x v="1"/>
    <x v="1"/>
    <x v="1"/>
    <x v="2"/>
    <x v="2"/>
    <x v="3"/>
    <x v="73"/>
    <x v="1"/>
    <x v="2"/>
    <x v="0"/>
    <n v="25300"/>
  </r>
  <r>
    <m/>
    <x v="1"/>
    <x v="1"/>
    <x v="1"/>
    <x v="2"/>
    <x v="2"/>
    <x v="3"/>
    <x v="74"/>
    <x v="1"/>
    <x v="2"/>
    <x v="0"/>
    <n v="25300"/>
  </r>
  <r>
    <m/>
    <x v="1"/>
    <x v="1"/>
    <x v="1"/>
    <x v="2"/>
    <x v="2"/>
    <x v="3"/>
    <x v="75"/>
    <x v="1"/>
    <x v="2"/>
    <x v="0"/>
    <n v="25300"/>
  </r>
  <r>
    <m/>
    <x v="1"/>
    <x v="1"/>
    <x v="1"/>
    <x v="2"/>
    <x v="2"/>
    <x v="3"/>
    <x v="76"/>
    <x v="1"/>
    <x v="2"/>
    <x v="0"/>
    <n v="25300"/>
  </r>
  <r>
    <m/>
    <x v="1"/>
    <x v="1"/>
    <x v="1"/>
    <x v="2"/>
    <x v="2"/>
    <x v="3"/>
    <x v="77"/>
    <x v="1"/>
    <x v="2"/>
    <x v="0"/>
    <n v="25300"/>
  </r>
  <r>
    <m/>
    <x v="1"/>
    <x v="1"/>
    <x v="1"/>
    <x v="2"/>
    <x v="2"/>
    <x v="3"/>
    <x v="78"/>
    <x v="1"/>
    <x v="2"/>
    <x v="0"/>
    <n v="25300"/>
  </r>
  <r>
    <m/>
    <x v="1"/>
    <x v="1"/>
    <x v="1"/>
    <x v="2"/>
    <x v="2"/>
    <x v="3"/>
    <x v="79"/>
    <x v="1"/>
    <x v="2"/>
    <x v="0"/>
    <n v="25300"/>
  </r>
  <r>
    <m/>
    <x v="1"/>
    <x v="1"/>
    <x v="0"/>
    <x v="2"/>
    <x v="3"/>
    <x v="3"/>
    <x v="77"/>
    <x v="0"/>
    <x v="1"/>
    <x v="0"/>
    <n v="27270"/>
  </r>
  <r>
    <m/>
    <x v="1"/>
    <x v="1"/>
    <x v="0"/>
    <x v="2"/>
    <x v="3"/>
    <x v="9"/>
    <x v="3"/>
    <x v="0"/>
    <x v="1"/>
    <x v="0"/>
    <n v="29880"/>
  </r>
  <r>
    <m/>
    <x v="1"/>
    <x v="1"/>
    <x v="1"/>
    <x v="2"/>
    <x v="2"/>
    <x v="9"/>
    <x v="3"/>
    <x v="1"/>
    <x v="2"/>
    <x v="0"/>
    <n v="27800"/>
  </r>
  <r>
    <m/>
    <x v="1"/>
    <x v="1"/>
    <x v="1"/>
    <x v="2"/>
    <x v="2"/>
    <x v="9"/>
    <x v="2"/>
    <x v="1"/>
    <x v="2"/>
    <x v="0"/>
    <n v="27800"/>
  </r>
  <r>
    <m/>
    <x v="1"/>
    <x v="1"/>
    <x v="1"/>
    <x v="2"/>
    <x v="2"/>
    <x v="9"/>
    <x v="63"/>
    <x v="1"/>
    <x v="2"/>
    <x v="0"/>
    <n v="27800"/>
  </r>
  <r>
    <m/>
    <x v="1"/>
    <x v="1"/>
    <x v="1"/>
    <x v="2"/>
    <x v="2"/>
    <x v="9"/>
    <x v="64"/>
    <x v="1"/>
    <x v="2"/>
    <x v="0"/>
    <n v="27800"/>
  </r>
  <r>
    <m/>
    <x v="1"/>
    <x v="1"/>
    <x v="1"/>
    <x v="2"/>
    <x v="2"/>
    <x v="9"/>
    <x v="65"/>
    <x v="1"/>
    <x v="2"/>
    <x v="0"/>
    <n v="27800"/>
  </r>
  <r>
    <m/>
    <x v="1"/>
    <x v="1"/>
    <x v="1"/>
    <x v="2"/>
    <x v="2"/>
    <x v="9"/>
    <x v="66"/>
    <x v="1"/>
    <x v="2"/>
    <x v="0"/>
    <n v="27800"/>
  </r>
  <r>
    <m/>
    <x v="1"/>
    <x v="1"/>
    <x v="1"/>
    <x v="2"/>
    <x v="2"/>
    <x v="9"/>
    <x v="67"/>
    <x v="1"/>
    <x v="2"/>
    <x v="0"/>
    <n v="27800"/>
  </r>
  <r>
    <m/>
    <x v="1"/>
    <x v="1"/>
    <x v="1"/>
    <x v="2"/>
    <x v="2"/>
    <x v="9"/>
    <x v="68"/>
    <x v="1"/>
    <x v="2"/>
    <x v="0"/>
    <n v="27800"/>
  </r>
  <r>
    <m/>
    <x v="1"/>
    <x v="1"/>
    <x v="1"/>
    <x v="2"/>
    <x v="2"/>
    <x v="9"/>
    <x v="69"/>
    <x v="1"/>
    <x v="2"/>
    <x v="0"/>
    <n v="27800"/>
  </r>
  <r>
    <m/>
    <x v="1"/>
    <x v="1"/>
    <x v="1"/>
    <x v="2"/>
    <x v="2"/>
    <x v="9"/>
    <x v="70"/>
    <x v="1"/>
    <x v="2"/>
    <x v="0"/>
    <n v="27800"/>
  </r>
  <r>
    <m/>
    <x v="1"/>
    <x v="1"/>
    <x v="1"/>
    <x v="2"/>
    <x v="2"/>
    <x v="9"/>
    <x v="71"/>
    <x v="1"/>
    <x v="2"/>
    <x v="0"/>
    <n v="27800"/>
  </r>
  <r>
    <m/>
    <x v="1"/>
    <x v="1"/>
    <x v="1"/>
    <x v="2"/>
    <x v="2"/>
    <x v="9"/>
    <x v="72"/>
    <x v="1"/>
    <x v="2"/>
    <x v="0"/>
    <n v="27800"/>
  </r>
  <r>
    <m/>
    <x v="1"/>
    <x v="1"/>
    <x v="1"/>
    <x v="2"/>
    <x v="2"/>
    <x v="9"/>
    <x v="73"/>
    <x v="1"/>
    <x v="2"/>
    <x v="0"/>
    <n v="27800"/>
  </r>
  <r>
    <m/>
    <x v="1"/>
    <x v="1"/>
    <x v="1"/>
    <x v="2"/>
    <x v="2"/>
    <x v="9"/>
    <x v="74"/>
    <x v="1"/>
    <x v="2"/>
    <x v="0"/>
    <n v="27800"/>
  </r>
  <r>
    <m/>
    <x v="1"/>
    <x v="1"/>
    <x v="1"/>
    <x v="2"/>
    <x v="2"/>
    <x v="9"/>
    <x v="75"/>
    <x v="1"/>
    <x v="2"/>
    <x v="0"/>
    <n v="27800"/>
  </r>
  <r>
    <m/>
    <x v="1"/>
    <x v="1"/>
    <x v="1"/>
    <x v="2"/>
    <x v="2"/>
    <x v="9"/>
    <x v="76"/>
    <x v="1"/>
    <x v="2"/>
    <x v="0"/>
    <n v="27800"/>
  </r>
  <r>
    <m/>
    <x v="1"/>
    <x v="1"/>
    <x v="1"/>
    <x v="2"/>
    <x v="2"/>
    <x v="9"/>
    <x v="77"/>
    <x v="1"/>
    <x v="2"/>
    <x v="0"/>
    <n v="27800"/>
  </r>
  <r>
    <m/>
    <x v="1"/>
    <x v="1"/>
    <x v="1"/>
    <x v="2"/>
    <x v="2"/>
    <x v="9"/>
    <x v="78"/>
    <x v="1"/>
    <x v="2"/>
    <x v="0"/>
    <n v="27800"/>
  </r>
  <r>
    <m/>
    <x v="1"/>
    <x v="1"/>
    <x v="1"/>
    <x v="2"/>
    <x v="2"/>
    <x v="9"/>
    <x v="79"/>
    <x v="1"/>
    <x v="2"/>
    <x v="0"/>
    <n v="27800"/>
  </r>
  <r>
    <m/>
    <x v="0"/>
    <x v="1"/>
    <x v="0"/>
    <x v="5"/>
    <x v="0"/>
    <x v="0"/>
    <x v="101"/>
    <x v="0"/>
    <x v="11"/>
    <x v="0"/>
    <n v="28280"/>
  </r>
  <r>
    <m/>
    <x v="0"/>
    <x v="0"/>
    <x v="1"/>
    <x v="0"/>
    <x v="0"/>
    <x v="0"/>
    <x v="87"/>
    <x v="1"/>
    <x v="10"/>
    <x v="0"/>
    <n v="21620"/>
  </r>
  <r>
    <m/>
    <x v="1"/>
    <x v="1"/>
    <x v="0"/>
    <x v="3"/>
    <x v="2"/>
    <x v="2"/>
    <x v="65"/>
    <x v="0"/>
    <x v="2"/>
    <x v="0"/>
    <n v="19840"/>
  </r>
  <r>
    <m/>
    <x v="1"/>
    <x v="1"/>
    <x v="0"/>
    <x v="2"/>
    <x v="3"/>
    <x v="2"/>
    <x v="71"/>
    <x v="0"/>
    <x v="1"/>
    <x v="0"/>
    <n v="23830"/>
  </r>
  <r>
    <m/>
    <x v="1"/>
    <x v="1"/>
    <x v="1"/>
    <x v="2"/>
    <x v="3"/>
    <x v="2"/>
    <x v="3"/>
    <x v="1"/>
    <x v="1"/>
    <x v="0"/>
    <n v="25190"/>
  </r>
  <r>
    <m/>
    <x v="0"/>
    <x v="1"/>
    <x v="0"/>
    <x v="5"/>
    <x v="0"/>
    <x v="0"/>
    <x v="102"/>
    <x v="0"/>
    <x v="11"/>
    <x v="0"/>
    <n v="28280"/>
  </r>
  <r>
    <m/>
    <x v="0"/>
    <x v="1"/>
    <x v="0"/>
    <x v="5"/>
    <x v="0"/>
    <x v="0"/>
    <x v="103"/>
    <x v="0"/>
    <x v="11"/>
    <x v="0"/>
    <n v="28280"/>
  </r>
  <r>
    <m/>
    <x v="0"/>
    <x v="1"/>
    <x v="0"/>
    <x v="5"/>
    <x v="0"/>
    <x v="0"/>
    <x v="104"/>
    <x v="0"/>
    <x v="11"/>
    <x v="0"/>
    <n v="28280"/>
  </r>
  <r>
    <m/>
    <x v="0"/>
    <x v="1"/>
    <x v="0"/>
    <x v="5"/>
    <x v="0"/>
    <x v="0"/>
    <x v="105"/>
    <x v="0"/>
    <x v="11"/>
    <x v="0"/>
    <n v="28280"/>
  </r>
  <r>
    <m/>
    <x v="0"/>
    <x v="1"/>
    <x v="0"/>
    <x v="5"/>
    <x v="0"/>
    <x v="0"/>
    <x v="85"/>
    <x v="0"/>
    <x v="12"/>
    <x v="0"/>
    <n v="31840"/>
  </r>
  <r>
    <m/>
    <x v="0"/>
    <x v="1"/>
    <x v="0"/>
    <x v="5"/>
    <x v="0"/>
    <x v="0"/>
    <x v="86"/>
    <x v="0"/>
    <x v="12"/>
    <x v="0"/>
    <n v="63680"/>
  </r>
  <r>
    <m/>
    <x v="0"/>
    <x v="1"/>
    <x v="0"/>
    <x v="5"/>
    <x v="0"/>
    <x v="0"/>
    <x v="87"/>
    <x v="0"/>
    <x v="12"/>
    <x v="0"/>
    <n v="31840"/>
  </r>
  <r>
    <m/>
    <x v="0"/>
    <x v="1"/>
    <x v="0"/>
    <x v="5"/>
    <x v="0"/>
    <x v="0"/>
    <x v="106"/>
    <x v="0"/>
    <x v="12"/>
    <x v="0"/>
    <n v="31840"/>
  </r>
  <r>
    <m/>
    <x v="0"/>
    <x v="1"/>
    <x v="0"/>
    <x v="5"/>
    <x v="0"/>
    <x v="0"/>
    <x v="107"/>
    <x v="0"/>
    <x v="12"/>
    <x v="0"/>
    <n v="31840"/>
  </r>
  <r>
    <m/>
    <x v="0"/>
    <x v="1"/>
    <x v="0"/>
    <x v="4"/>
    <x v="0"/>
    <x v="0"/>
    <x v="99"/>
    <x v="0"/>
    <x v="11"/>
    <x v="0"/>
    <n v="26730"/>
  </r>
  <r>
    <m/>
    <x v="0"/>
    <x v="1"/>
    <x v="0"/>
    <x v="4"/>
    <x v="0"/>
    <x v="0"/>
    <x v="100"/>
    <x v="0"/>
    <x v="11"/>
    <x v="0"/>
    <n v="28500"/>
  </r>
  <r>
    <m/>
    <x v="0"/>
    <x v="1"/>
    <x v="0"/>
    <x v="4"/>
    <x v="0"/>
    <x v="0"/>
    <x v="101"/>
    <x v="0"/>
    <x v="11"/>
    <x v="0"/>
    <n v="30050"/>
  </r>
  <r>
    <m/>
    <x v="0"/>
    <x v="1"/>
    <x v="0"/>
    <x v="4"/>
    <x v="0"/>
    <x v="0"/>
    <x v="102"/>
    <x v="0"/>
    <x v="11"/>
    <x v="0"/>
    <n v="30050"/>
  </r>
  <r>
    <m/>
    <x v="0"/>
    <x v="1"/>
    <x v="0"/>
    <x v="4"/>
    <x v="0"/>
    <x v="0"/>
    <x v="103"/>
    <x v="0"/>
    <x v="11"/>
    <x v="0"/>
    <n v="30050"/>
  </r>
  <r>
    <m/>
    <x v="0"/>
    <x v="1"/>
    <x v="0"/>
    <x v="4"/>
    <x v="0"/>
    <x v="0"/>
    <x v="104"/>
    <x v="0"/>
    <x v="11"/>
    <x v="0"/>
    <n v="30050"/>
  </r>
  <r>
    <m/>
    <x v="0"/>
    <x v="1"/>
    <x v="0"/>
    <x v="4"/>
    <x v="0"/>
    <x v="0"/>
    <x v="105"/>
    <x v="0"/>
    <x v="11"/>
    <x v="0"/>
    <n v="30050"/>
  </r>
  <r>
    <m/>
    <x v="1"/>
    <x v="1"/>
    <x v="1"/>
    <x v="2"/>
    <x v="3"/>
    <x v="2"/>
    <x v="2"/>
    <x v="1"/>
    <x v="1"/>
    <x v="0"/>
    <n v="25190"/>
  </r>
  <r>
    <m/>
    <x v="1"/>
    <x v="1"/>
    <x v="1"/>
    <x v="2"/>
    <x v="3"/>
    <x v="2"/>
    <x v="63"/>
    <x v="1"/>
    <x v="1"/>
    <x v="0"/>
    <n v="25190"/>
  </r>
  <r>
    <m/>
    <x v="1"/>
    <x v="1"/>
    <x v="1"/>
    <x v="2"/>
    <x v="3"/>
    <x v="2"/>
    <x v="64"/>
    <x v="1"/>
    <x v="1"/>
    <x v="0"/>
    <n v="25190"/>
  </r>
  <r>
    <m/>
    <x v="1"/>
    <x v="1"/>
    <x v="1"/>
    <x v="2"/>
    <x v="3"/>
    <x v="2"/>
    <x v="65"/>
    <x v="1"/>
    <x v="1"/>
    <x v="0"/>
    <n v="25190"/>
  </r>
  <r>
    <m/>
    <x v="1"/>
    <x v="1"/>
    <x v="1"/>
    <x v="2"/>
    <x v="3"/>
    <x v="2"/>
    <x v="66"/>
    <x v="1"/>
    <x v="1"/>
    <x v="0"/>
    <n v="25190"/>
  </r>
  <r>
    <m/>
    <x v="1"/>
    <x v="1"/>
    <x v="1"/>
    <x v="2"/>
    <x v="3"/>
    <x v="2"/>
    <x v="67"/>
    <x v="1"/>
    <x v="1"/>
    <x v="0"/>
    <n v="25190"/>
  </r>
  <r>
    <m/>
    <x v="1"/>
    <x v="1"/>
    <x v="1"/>
    <x v="2"/>
    <x v="3"/>
    <x v="2"/>
    <x v="68"/>
    <x v="1"/>
    <x v="1"/>
    <x v="0"/>
    <n v="25190"/>
  </r>
  <r>
    <m/>
    <x v="1"/>
    <x v="1"/>
    <x v="1"/>
    <x v="2"/>
    <x v="3"/>
    <x v="2"/>
    <x v="69"/>
    <x v="1"/>
    <x v="1"/>
    <x v="0"/>
    <n v="25190"/>
  </r>
  <r>
    <m/>
    <x v="1"/>
    <x v="1"/>
    <x v="1"/>
    <x v="2"/>
    <x v="3"/>
    <x v="2"/>
    <x v="70"/>
    <x v="1"/>
    <x v="1"/>
    <x v="0"/>
    <n v="25190"/>
  </r>
  <r>
    <m/>
    <x v="1"/>
    <x v="1"/>
    <x v="1"/>
    <x v="2"/>
    <x v="3"/>
    <x v="2"/>
    <x v="71"/>
    <x v="1"/>
    <x v="1"/>
    <x v="0"/>
    <n v="25190"/>
  </r>
  <r>
    <m/>
    <x v="1"/>
    <x v="1"/>
    <x v="1"/>
    <x v="2"/>
    <x v="3"/>
    <x v="2"/>
    <x v="73"/>
    <x v="1"/>
    <x v="1"/>
    <x v="0"/>
    <n v="25190"/>
  </r>
  <r>
    <m/>
    <x v="1"/>
    <x v="1"/>
    <x v="1"/>
    <x v="2"/>
    <x v="3"/>
    <x v="2"/>
    <x v="74"/>
    <x v="1"/>
    <x v="1"/>
    <x v="0"/>
    <n v="25190"/>
  </r>
  <r>
    <m/>
    <x v="1"/>
    <x v="1"/>
    <x v="1"/>
    <x v="2"/>
    <x v="3"/>
    <x v="2"/>
    <x v="75"/>
    <x v="1"/>
    <x v="1"/>
    <x v="0"/>
    <n v="25190"/>
  </r>
  <r>
    <m/>
    <x v="0"/>
    <x v="1"/>
    <x v="0"/>
    <x v="4"/>
    <x v="0"/>
    <x v="0"/>
    <x v="85"/>
    <x v="0"/>
    <x v="12"/>
    <x v="0"/>
    <n v="33370"/>
  </r>
  <r>
    <m/>
    <x v="0"/>
    <x v="1"/>
    <x v="0"/>
    <x v="4"/>
    <x v="0"/>
    <x v="0"/>
    <x v="86"/>
    <x v="0"/>
    <x v="12"/>
    <x v="0"/>
    <n v="66740"/>
  </r>
  <r>
    <m/>
    <x v="0"/>
    <x v="1"/>
    <x v="0"/>
    <x v="4"/>
    <x v="0"/>
    <x v="0"/>
    <x v="87"/>
    <x v="0"/>
    <x v="12"/>
    <x v="0"/>
    <n v="33370"/>
  </r>
  <r>
    <m/>
    <x v="0"/>
    <x v="1"/>
    <x v="0"/>
    <x v="4"/>
    <x v="0"/>
    <x v="0"/>
    <x v="106"/>
    <x v="0"/>
    <x v="12"/>
    <x v="0"/>
    <n v="33370"/>
  </r>
  <r>
    <m/>
    <x v="0"/>
    <x v="1"/>
    <x v="0"/>
    <x v="4"/>
    <x v="0"/>
    <x v="0"/>
    <x v="107"/>
    <x v="0"/>
    <x v="12"/>
    <x v="0"/>
    <n v="33370"/>
  </r>
  <r>
    <m/>
    <x v="0"/>
    <x v="1"/>
    <x v="1"/>
    <x v="1"/>
    <x v="0"/>
    <x v="0"/>
    <x v="85"/>
    <x v="1"/>
    <x v="12"/>
    <x v="0"/>
    <n v="63480"/>
  </r>
  <r>
    <m/>
    <x v="0"/>
    <x v="1"/>
    <x v="1"/>
    <x v="1"/>
    <x v="0"/>
    <x v="0"/>
    <x v="86"/>
    <x v="1"/>
    <x v="12"/>
    <x v="0"/>
    <n v="63480"/>
  </r>
  <r>
    <m/>
    <x v="0"/>
    <x v="1"/>
    <x v="1"/>
    <x v="1"/>
    <x v="0"/>
    <x v="0"/>
    <x v="87"/>
    <x v="1"/>
    <x v="12"/>
    <x v="0"/>
    <n v="31740"/>
  </r>
  <r>
    <m/>
    <x v="0"/>
    <x v="1"/>
    <x v="1"/>
    <x v="1"/>
    <x v="0"/>
    <x v="0"/>
    <x v="106"/>
    <x v="1"/>
    <x v="12"/>
    <x v="0"/>
    <n v="31740"/>
  </r>
  <r>
    <m/>
    <x v="0"/>
    <x v="1"/>
    <x v="1"/>
    <x v="1"/>
    <x v="0"/>
    <x v="0"/>
    <x v="107"/>
    <x v="1"/>
    <x v="12"/>
    <x v="0"/>
    <n v="31740"/>
  </r>
  <r>
    <m/>
    <x v="0"/>
    <x v="1"/>
    <x v="1"/>
    <x v="5"/>
    <x v="0"/>
    <x v="0"/>
    <x v="85"/>
    <x v="1"/>
    <x v="12"/>
    <x v="0"/>
    <n v="67620"/>
  </r>
  <r>
    <m/>
    <x v="0"/>
    <x v="1"/>
    <x v="1"/>
    <x v="5"/>
    <x v="0"/>
    <x v="0"/>
    <x v="86"/>
    <x v="1"/>
    <x v="12"/>
    <x v="0"/>
    <n v="67620"/>
  </r>
  <r>
    <m/>
    <x v="0"/>
    <x v="1"/>
    <x v="1"/>
    <x v="5"/>
    <x v="0"/>
    <x v="0"/>
    <x v="87"/>
    <x v="1"/>
    <x v="12"/>
    <x v="0"/>
    <n v="33810"/>
  </r>
  <r>
    <m/>
    <x v="0"/>
    <x v="0"/>
    <x v="1"/>
    <x v="0"/>
    <x v="0"/>
    <x v="0"/>
    <x v="80"/>
    <x v="1"/>
    <x v="10"/>
    <x v="0"/>
    <n v="64840"/>
  </r>
  <r>
    <m/>
    <x v="0"/>
    <x v="0"/>
    <x v="1"/>
    <x v="0"/>
    <x v="0"/>
    <x v="0"/>
    <x v="81"/>
    <x v="1"/>
    <x v="10"/>
    <x v="0"/>
    <n v="64840"/>
  </r>
  <r>
    <m/>
    <x v="0"/>
    <x v="0"/>
    <x v="1"/>
    <x v="0"/>
    <x v="0"/>
    <x v="0"/>
    <x v="82"/>
    <x v="1"/>
    <x v="10"/>
    <x v="0"/>
    <n v="64840"/>
  </r>
  <r>
    <m/>
    <x v="0"/>
    <x v="0"/>
    <x v="1"/>
    <x v="0"/>
    <x v="0"/>
    <x v="0"/>
    <x v="83"/>
    <x v="1"/>
    <x v="10"/>
    <x v="0"/>
    <n v="43230"/>
  </r>
  <r>
    <m/>
    <x v="0"/>
    <x v="0"/>
    <x v="1"/>
    <x v="0"/>
    <x v="0"/>
    <x v="0"/>
    <x v="84"/>
    <x v="1"/>
    <x v="10"/>
    <x v="0"/>
    <n v="43230"/>
  </r>
  <r>
    <m/>
    <x v="0"/>
    <x v="0"/>
    <x v="1"/>
    <x v="6"/>
    <x v="0"/>
    <x v="0"/>
    <x v="85"/>
    <x v="1"/>
    <x v="10"/>
    <x v="0"/>
    <n v="47850"/>
  </r>
  <r>
    <m/>
    <x v="0"/>
    <x v="0"/>
    <x v="1"/>
    <x v="6"/>
    <x v="0"/>
    <x v="0"/>
    <x v="86"/>
    <x v="1"/>
    <x v="10"/>
    <x v="0"/>
    <n v="47850"/>
  </r>
  <r>
    <m/>
    <x v="0"/>
    <x v="0"/>
    <x v="1"/>
    <x v="6"/>
    <x v="0"/>
    <x v="0"/>
    <x v="87"/>
    <x v="1"/>
    <x v="10"/>
    <x v="0"/>
    <n v="47850"/>
  </r>
  <r>
    <m/>
    <x v="0"/>
    <x v="0"/>
    <x v="1"/>
    <x v="6"/>
    <x v="0"/>
    <x v="0"/>
    <x v="80"/>
    <x v="1"/>
    <x v="10"/>
    <x v="0"/>
    <n v="47850"/>
  </r>
  <r>
    <m/>
    <x v="0"/>
    <x v="0"/>
    <x v="1"/>
    <x v="6"/>
    <x v="0"/>
    <x v="0"/>
    <x v="81"/>
    <x v="1"/>
    <x v="10"/>
    <x v="0"/>
    <n v="47850"/>
  </r>
  <r>
    <m/>
    <x v="0"/>
    <x v="0"/>
    <x v="1"/>
    <x v="6"/>
    <x v="0"/>
    <x v="0"/>
    <x v="82"/>
    <x v="1"/>
    <x v="10"/>
    <x v="0"/>
    <n v="47850"/>
  </r>
  <r>
    <m/>
    <x v="0"/>
    <x v="0"/>
    <x v="1"/>
    <x v="6"/>
    <x v="0"/>
    <x v="0"/>
    <x v="83"/>
    <x v="1"/>
    <x v="10"/>
    <x v="0"/>
    <n v="47850"/>
  </r>
  <r>
    <m/>
    <x v="0"/>
    <x v="0"/>
    <x v="1"/>
    <x v="6"/>
    <x v="0"/>
    <x v="0"/>
    <x v="84"/>
    <x v="1"/>
    <x v="10"/>
    <x v="0"/>
    <n v="47850"/>
  </r>
  <r>
    <m/>
    <x v="1"/>
    <x v="1"/>
    <x v="0"/>
    <x v="3"/>
    <x v="2"/>
    <x v="2"/>
    <x v="66"/>
    <x v="0"/>
    <x v="2"/>
    <x v="0"/>
    <n v="19840"/>
  </r>
  <r>
    <m/>
    <x v="1"/>
    <x v="1"/>
    <x v="0"/>
    <x v="3"/>
    <x v="2"/>
    <x v="2"/>
    <x v="67"/>
    <x v="0"/>
    <x v="2"/>
    <x v="0"/>
    <n v="19840"/>
  </r>
  <r>
    <m/>
    <x v="1"/>
    <x v="1"/>
    <x v="0"/>
    <x v="3"/>
    <x v="2"/>
    <x v="2"/>
    <x v="68"/>
    <x v="0"/>
    <x v="2"/>
    <x v="0"/>
    <n v="19840"/>
  </r>
  <r>
    <m/>
    <x v="1"/>
    <x v="1"/>
    <x v="0"/>
    <x v="3"/>
    <x v="2"/>
    <x v="2"/>
    <x v="69"/>
    <x v="0"/>
    <x v="2"/>
    <x v="0"/>
    <n v="19840"/>
  </r>
  <r>
    <m/>
    <x v="1"/>
    <x v="1"/>
    <x v="0"/>
    <x v="3"/>
    <x v="2"/>
    <x v="2"/>
    <x v="70"/>
    <x v="0"/>
    <x v="2"/>
    <x v="0"/>
    <n v="19840"/>
  </r>
  <r>
    <m/>
    <x v="1"/>
    <x v="1"/>
    <x v="0"/>
    <x v="3"/>
    <x v="2"/>
    <x v="2"/>
    <x v="71"/>
    <x v="0"/>
    <x v="2"/>
    <x v="0"/>
    <n v="19840"/>
  </r>
  <r>
    <m/>
    <x v="1"/>
    <x v="1"/>
    <x v="0"/>
    <x v="3"/>
    <x v="2"/>
    <x v="2"/>
    <x v="72"/>
    <x v="0"/>
    <x v="2"/>
    <x v="0"/>
    <n v="19840"/>
  </r>
  <r>
    <m/>
    <x v="1"/>
    <x v="1"/>
    <x v="0"/>
    <x v="3"/>
    <x v="2"/>
    <x v="2"/>
    <x v="73"/>
    <x v="0"/>
    <x v="2"/>
    <x v="0"/>
    <n v="19840"/>
  </r>
  <r>
    <m/>
    <x v="1"/>
    <x v="1"/>
    <x v="0"/>
    <x v="3"/>
    <x v="2"/>
    <x v="2"/>
    <x v="74"/>
    <x v="0"/>
    <x v="2"/>
    <x v="0"/>
    <n v="19840"/>
  </r>
  <r>
    <m/>
    <x v="1"/>
    <x v="1"/>
    <x v="0"/>
    <x v="3"/>
    <x v="2"/>
    <x v="2"/>
    <x v="75"/>
    <x v="0"/>
    <x v="2"/>
    <x v="0"/>
    <n v="19840"/>
  </r>
  <r>
    <m/>
    <x v="1"/>
    <x v="1"/>
    <x v="0"/>
    <x v="3"/>
    <x v="2"/>
    <x v="2"/>
    <x v="76"/>
    <x v="0"/>
    <x v="2"/>
    <x v="0"/>
    <n v="19840"/>
  </r>
  <r>
    <m/>
    <x v="1"/>
    <x v="1"/>
    <x v="0"/>
    <x v="3"/>
    <x v="2"/>
    <x v="2"/>
    <x v="77"/>
    <x v="0"/>
    <x v="2"/>
    <x v="0"/>
    <n v="19840"/>
  </r>
  <r>
    <m/>
    <x v="1"/>
    <x v="1"/>
    <x v="0"/>
    <x v="3"/>
    <x v="2"/>
    <x v="2"/>
    <x v="78"/>
    <x v="0"/>
    <x v="2"/>
    <x v="0"/>
    <n v="19840"/>
  </r>
  <r>
    <m/>
    <x v="1"/>
    <x v="1"/>
    <x v="0"/>
    <x v="3"/>
    <x v="2"/>
    <x v="2"/>
    <x v="79"/>
    <x v="0"/>
    <x v="2"/>
    <x v="0"/>
    <n v="19840"/>
  </r>
  <r>
    <m/>
    <x v="1"/>
    <x v="1"/>
    <x v="0"/>
    <x v="3"/>
    <x v="2"/>
    <x v="3"/>
    <x v="3"/>
    <x v="0"/>
    <x v="2"/>
    <x v="0"/>
    <n v="22780"/>
  </r>
  <r>
    <m/>
    <x v="1"/>
    <x v="1"/>
    <x v="0"/>
    <x v="2"/>
    <x v="3"/>
    <x v="2"/>
    <x v="72"/>
    <x v="0"/>
    <x v="1"/>
    <x v="0"/>
    <n v="23830"/>
  </r>
  <r>
    <m/>
    <x v="1"/>
    <x v="1"/>
    <x v="0"/>
    <x v="2"/>
    <x v="3"/>
    <x v="2"/>
    <x v="73"/>
    <x v="0"/>
    <x v="1"/>
    <x v="0"/>
    <n v="23830"/>
  </r>
  <r>
    <m/>
    <x v="1"/>
    <x v="1"/>
    <x v="0"/>
    <x v="2"/>
    <x v="3"/>
    <x v="2"/>
    <x v="74"/>
    <x v="0"/>
    <x v="1"/>
    <x v="0"/>
    <n v="23830"/>
  </r>
  <r>
    <m/>
    <x v="1"/>
    <x v="1"/>
    <x v="0"/>
    <x v="2"/>
    <x v="3"/>
    <x v="2"/>
    <x v="75"/>
    <x v="0"/>
    <x v="1"/>
    <x v="0"/>
    <n v="23830"/>
  </r>
  <r>
    <m/>
    <x v="1"/>
    <x v="1"/>
    <x v="0"/>
    <x v="2"/>
    <x v="3"/>
    <x v="2"/>
    <x v="76"/>
    <x v="0"/>
    <x v="1"/>
    <x v="0"/>
    <n v="23830"/>
  </r>
  <r>
    <m/>
    <x v="1"/>
    <x v="1"/>
    <x v="0"/>
    <x v="2"/>
    <x v="3"/>
    <x v="2"/>
    <x v="77"/>
    <x v="0"/>
    <x v="1"/>
    <x v="0"/>
    <n v="23830"/>
  </r>
  <r>
    <m/>
    <x v="1"/>
    <x v="1"/>
    <x v="0"/>
    <x v="2"/>
    <x v="3"/>
    <x v="2"/>
    <x v="78"/>
    <x v="0"/>
    <x v="1"/>
    <x v="0"/>
    <n v="23830"/>
  </r>
  <r>
    <m/>
    <x v="1"/>
    <x v="1"/>
    <x v="0"/>
    <x v="2"/>
    <x v="3"/>
    <x v="2"/>
    <x v="79"/>
    <x v="0"/>
    <x v="1"/>
    <x v="0"/>
    <n v="23830"/>
  </r>
  <r>
    <m/>
    <x v="1"/>
    <x v="1"/>
    <x v="0"/>
    <x v="2"/>
    <x v="3"/>
    <x v="3"/>
    <x v="3"/>
    <x v="0"/>
    <x v="1"/>
    <x v="0"/>
    <n v="27270"/>
  </r>
  <r>
    <m/>
    <x v="1"/>
    <x v="1"/>
    <x v="0"/>
    <x v="2"/>
    <x v="3"/>
    <x v="3"/>
    <x v="2"/>
    <x v="0"/>
    <x v="1"/>
    <x v="0"/>
    <n v="27270"/>
  </r>
  <r>
    <m/>
    <x v="1"/>
    <x v="1"/>
    <x v="0"/>
    <x v="2"/>
    <x v="3"/>
    <x v="3"/>
    <x v="63"/>
    <x v="0"/>
    <x v="1"/>
    <x v="0"/>
    <n v="27270"/>
  </r>
  <r>
    <m/>
    <x v="1"/>
    <x v="1"/>
    <x v="0"/>
    <x v="2"/>
    <x v="3"/>
    <x v="3"/>
    <x v="64"/>
    <x v="0"/>
    <x v="1"/>
    <x v="0"/>
    <n v="27270"/>
  </r>
  <r>
    <m/>
    <x v="1"/>
    <x v="1"/>
    <x v="0"/>
    <x v="2"/>
    <x v="3"/>
    <x v="3"/>
    <x v="65"/>
    <x v="0"/>
    <x v="1"/>
    <x v="0"/>
    <n v="27270"/>
  </r>
  <r>
    <m/>
    <x v="1"/>
    <x v="1"/>
    <x v="0"/>
    <x v="2"/>
    <x v="3"/>
    <x v="3"/>
    <x v="66"/>
    <x v="0"/>
    <x v="1"/>
    <x v="0"/>
    <n v="27270"/>
  </r>
  <r>
    <m/>
    <x v="1"/>
    <x v="1"/>
    <x v="0"/>
    <x v="2"/>
    <x v="3"/>
    <x v="3"/>
    <x v="67"/>
    <x v="0"/>
    <x v="1"/>
    <x v="0"/>
    <n v="27270"/>
  </r>
  <r>
    <m/>
    <x v="0"/>
    <x v="1"/>
    <x v="1"/>
    <x v="5"/>
    <x v="0"/>
    <x v="0"/>
    <x v="106"/>
    <x v="1"/>
    <x v="12"/>
    <x v="0"/>
    <n v="33810"/>
  </r>
  <r>
    <m/>
    <x v="1"/>
    <x v="1"/>
    <x v="0"/>
    <x v="3"/>
    <x v="2"/>
    <x v="3"/>
    <x v="2"/>
    <x v="0"/>
    <x v="2"/>
    <x v="0"/>
    <n v="22780"/>
  </r>
  <r>
    <m/>
    <x v="1"/>
    <x v="1"/>
    <x v="0"/>
    <x v="2"/>
    <x v="3"/>
    <x v="3"/>
    <x v="68"/>
    <x v="0"/>
    <x v="1"/>
    <x v="0"/>
    <n v="27270"/>
  </r>
  <r>
    <m/>
    <x v="1"/>
    <x v="1"/>
    <x v="0"/>
    <x v="2"/>
    <x v="3"/>
    <x v="3"/>
    <x v="69"/>
    <x v="0"/>
    <x v="1"/>
    <x v="0"/>
    <n v="27270"/>
  </r>
  <r>
    <m/>
    <x v="1"/>
    <x v="1"/>
    <x v="0"/>
    <x v="2"/>
    <x v="3"/>
    <x v="3"/>
    <x v="70"/>
    <x v="0"/>
    <x v="1"/>
    <x v="0"/>
    <n v="27270"/>
  </r>
  <r>
    <m/>
    <x v="1"/>
    <x v="1"/>
    <x v="0"/>
    <x v="2"/>
    <x v="3"/>
    <x v="3"/>
    <x v="71"/>
    <x v="0"/>
    <x v="1"/>
    <x v="0"/>
    <n v="27270"/>
  </r>
  <r>
    <m/>
    <x v="1"/>
    <x v="1"/>
    <x v="0"/>
    <x v="2"/>
    <x v="3"/>
    <x v="3"/>
    <x v="72"/>
    <x v="0"/>
    <x v="1"/>
    <x v="0"/>
    <n v="27270"/>
  </r>
  <r>
    <m/>
    <x v="1"/>
    <x v="1"/>
    <x v="0"/>
    <x v="2"/>
    <x v="3"/>
    <x v="3"/>
    <x v="73"/>
    <x v="0"/>
    <x v="1"/>
    <x v="0"/>
    <n v="27270"/>
  </r>
  <r>
    <m/>
    <x v="1"/>
    <x v="1"/>
    <x v="0"/>
    <x v="2"/>
    <x v="3"/>
    <x v="3"/>
    <x v="74"/>
    <x v="0"/>
    <x v="1"/>
    <x v="0"/>
    <n v="27270"/>
  </r>
  <r>
    <m/>
    <x v="1"/>
    <x v="1"/>
    <x v="0"/>
    <x v="2"/>
    <x v="3"/>
    <x v="3"/>
    <x v="75"/>
    <x v="0"/>
    <x v="1"/>
    <x v="0"/>
    <n v="27270"/>
  </r>
  <r>
    <m/>
    <x v="1"/>
    <x v="1"/>
    <x v="0"/>
    <x v="2"/>
    <x v="3"/>
    <x v="3"/>
    <x v="76"/>
    <x v="0"/>
    <x v="1"/>
    <x v="0"/>
    <n v="27270"/>
  </r>
  <r>
    <m/>
    <x v="1"/>
    <x v="1"/>
    <x v="0"/>
    <x v="2"/>
    <x v="3"/>
    <x v="3"/>
    <x v="78"/>
    <x v="0"/>
    <x v="1"/>
    <x v="0"/>
    <n v="27270"/>
  </r>
  <r>
    <m/>
    <x v="1"/>
    <x v="1"/>
    <x v="0"/>
    <x v="2"/>
    <x v="3"/>
    <x v="3"/>
    <x v="79"/>
    <x v="0"/>
    <x v="1"/>
    <x v="0"/>
    <n v="27270"/>
  </r>
  <r>
    <m/>
    <x v="1"/>
    <x v="1"/>
    <x v="0"/>
    <x v="3"/>
    <x v="2"/>
    <x v="3"/>
    <x v="63"/>
    <x v="0"/>
    <x v="2"/>
    <x v="0"/>
    <n v="22780"/>
  </r>
  <r>
    <m/>
    <x v="1"/>
    <x v="1"/>
    <x v="0"/>
    <x v="3"/>
    <x v="2"/>
    <x v="3"/>
    <x v="64"/>
    <x v="0"/>
    <x v="2"/>
    <x v="0"/>
    <n v="22780"/>
  </r>
  <r>
    <m/>
    <x v="1"/>
    <x v="1"/>
    <x v="0"/>
    <x v="3"/>
    <x v="2"/>
    <x v="3"/>
    <x v="65"/>
    <x v="0"/>
    <x v="2"/>
    <x v="0"/>
    <n v="22780"/>
  </r>
  <r>
    <m/>
    <x v="1"/>
    <x v="1"/>
    <x v="0"/>
    <x v="3"/>
    <x v="2"/>
    <x v="3"/>
    <x v="66"/>
    <x v="0"/>
    <x v="2"/>
    <x v="0"/>
    <n v="22780"/>
  </r>
  <r>
    <m/>
    <x v="1"/>
    <x v="1"/>
    <x v="0"/>
    <x v="3"/>
    <x v="2"/>
    <x v="3"/>
    <x v="67"/>
    <x v="0"/>
    <x v="2"/>
    <x v="0"/>
    <n v="22780"/>
  </r>
  <r>
    <m/>
    <x v="1"/>
    <x v="1"/>
    <x v="0"/>
    <x v="3"/>
    <x v="2"/>
    <x v="3"/>
    <x v="68"/>
    <x v="0"/>
    <x v="2"/>
    <x v="0"/>
    <n v="22780"/>
  </r>
  <r>
    <m/>
    <x v="1"/>
    <x v="1"/>
    <x v="0"/>
    <x v="3"/>
    <x v="2"/>
    <x v="3"/>
    <x v="69"/>
    <x v="0"/>
    <x v="2"/>
    <x v="0"/>
    <n v="22780"/>
  </r>
  <r>
    <m/>
    <x v="1"/>
    <x v="1"/>
    <x v="0"/>
    <x v="3"/>
    <x v="2"/>
    <x v="3"/>
    <x v="70"/>
    <x v="0"/>
    <x v="2"/>
    <x v="0"/>
    <n v="22780"/>
  </r>
  <r>
    <m/>
    <x v="1"/>
    <x v="1"/>
    <x v="0"/>
    <x v="3"/>
    <x v="2"/>
    <x v="3"/>
    <x v="71"/>
    <x v="0"/>
    <x v="2"/>
    <x v="0"/>
    <n v="22780"/>
  </r>
  <r>
    <m/>
    <x v="1"/>
    <x v="1"/>
    <x v="0"/>
    <x v="3"/>
    <x v="2"/>
    <x v="3"/>
    <x v="72"/>
    <x v="0"/>
    <x v="2"/>
    <x v="0"/>
    <n v="22780"/>
  </r>
  <r>
    <m/>
    <x v="1"/>
    <x v="1"/>
    <x v="0"/>
    <x v="3"/>
    <x v="2"/>
    <x v="3"/>
    <x v="73"/>
    <x v="0"/>
    <x v="2"/>
    <x v="0"/>
    <n v="22780"/>
  </r>
  <r>
    <m/>
    <x v="0"/>
    <x v="1"/>
    <x v="1"/>
    <x v="5"/>
    <x v="0"/>
    <x v="0"/>
    <x v="107"/>
    <x v="1"/>
    <x v="12"/>
    <x v="0"/>
    <n v="33810"/>
  </r>
  <r>
    <m/>
    <x v="0"/>
    <x v="1"/>
    <x v="1"/>
    <x v="4"/>
    <x v="0"/>
    <x v="0"/>
    <x v="85"/>
    <x v="1"/>
    <x v="12"/>
    <x v="0"/>
    <n v="70960"/>
  </r>
  <r>
    <m/>
    <x v="0"/>
    <x v="1"/>
    <x v="1"/>
    <x v="4"/>
    <x v="0"/>
    <x v="0"/>
    <x v="86"/>
    <x v="1"/>
    <x v="12"/>
    <x v="0"/>
    <n v="70960"/>
  </r>
  <r>
    <m/>
    <x v="0"/>
    <x v="1"/>
    <x v="1"/>
    <x v="4"/>
    <x v="0"/>
    <x v="0"/>
    <x v="87"/>
    <x v="1"/>
    <x v="12"/>
    <x v="0"/>
    <n v="55120"/>
  </r>
  <r>
    <m/>
    <x v="0"/>
    <x v="1"/>
    <x v="1"/>
    <x v="4"/>
    <x v="0"/>
    <x v="0"/>
    <x v="106"/>
    <x v="1"/>
    <x v="12"/>
    <x v="0"/>
    <n v="35480"/>
  </r>
  <r>
    <m/>
    <x v="0"/>
    <x v="1"/>
    <x v="1"/>
    <x v="4"/>
    <x v="0"/>
    <x v="0"/>
    <x v="107"/>
    <x v="1"/>
    <x v="12"/>
    <x v="0"/>
    <n v="35480"/>
  </r>
  <r>
    <m/>
    <x v="1"/>
    <x v="1"/>
    <x v="1"/>
    <x v="2"/>
    <x v="3"/>
    <x v="2"/>
    <x v="76"/>
    <x v="1"/>
    <x v="1"/>
    <x v="0"/>
    <n v="25190"/>
  </r>
  <r>
    <m/>
    <x v="3"/>
    <x v="2"/>
    <x v="0"/>
    <x v="1"/>
    <x v="4"/>
    <x v="10"/>
    <x v="114"/>
    <x v="0"/>
    <x v="13"/>
    <x v="0"/>
    <n v="12370"/>
  </r>
  <r>
    <m/>
    <x v="3"/>
    <x v="2"/>
    <x v="1"/>
    <x v="1"/>
    <x v="4"/>
    <x v="10"/>
    <x v="114"/>
    <x v="1"/>
    <x v="13"/>
    <x v="0"/>
    <n v="13760"/>
  </r>
  <r>
    <m/>
    <x v="1"/>
    <x v="1"/>
    <x v="1"/>
    <x v="2"/>
    <x v="3"/>
    <x v="2"/>
    <x v="78"/>
    <x v="1"/>
    <x v="1"/>
    <x v="0"/>
    <n v="25190"/>
  </r>
  <r>
    <m/>
    <x v="1"/>
    <x v="1"/>
    <x v="1"/>
    <x v="2"/>
    <x v="3"/>
    <x v="2"/>
    <x v="79"/>
    <x v="1"/>
    <x v="1"/>
    <x v="0"/>
    <n v="25190"/>
  </r>
  <r>
    <m/>
    <x v="1"/>
    <x v="1"/>
    <x v="0"/>
    <x v="3"/>
    <x v="2"/>
    <x v="3"/>
    <x v="76"/>
    <x v="0"/>
    <x v="2"/>
    <x v="0"/>
    <n v="22780"/>
  </r>
  <r>
    <m/>
    <x v="1"/>
    <x v="1"/>
    <x v="0"/>
    <x v="2"/>
    <x v="3"/>
    <x v="9"/>
    <x v="2"/>
    <x v="0"/>
    <x v="1"/>
    <x v="0"/>
    <n v="29880"/>
  </r>
  <r>
    <m/>
    <x v="1"/>
    <x v="1"/>
    <x v="1"/>
    <x v="2"/>
    <x v="3"/>
    <x v="3"/>
    <x v="3"/>
    <x v="1"/>
    <x v="1"/>
    <x v="0"/>
    <n v="28760"/>
  </r>
  <r>
    <m/>
    <x v="1"/>
    <x v="0"/>
    <x v="0"/>
    <x v="3"/>
    <x v="3"/>
    <x v="8"/>
    <x v="54"/>
    <x v="0"/>
    <x v="4"/>
    <x v="0"/>
    <n v="40400"/>
  </r>
  <r>
    <m/>
    <x v="1"/>
    <x v="0"/>
    <x v="0"/>
    <x v="2"/>
    <x v="3"/>
    <x v="5"/>
    <x v="53"/>
    <x v="0"/>
    <x v="4"/>
    <x v="0"/>
    <n v="33320"/>
  </r>
  <r>
    <m/>
    <x v="1"/>
    <x v="0"/>
    <x v="1"/>
    <x v="3"/>
    <x v="2"/>
    <x v="8"/>
    <x v="50"/>
    <x v="1"/>
    <x v="3"/>
    <x v="0"/>
    <n v="38870"/>
  </r>
  <r>
    <m/>
    <x v="1"/>
    <x v="0"/>
    <x v="1"/>
    <x v="2"/>
    <x v="3"/>
    <x v="5"/>
    <x v="44"/>
    <x v="1"/>
    <x v="4"/>
    <x v="0"/>
    <n v="35110"/>
  </r>
  <r>
    <s v="CSKU00135_2EK"/>
    <x v="1"/>
    <x v="1"/>
    <x v="1"/>
    <x v="4"/>
    <x v="4"/>
    <x v="1"/>
    <x v="41"/>
    <x v="1"/>
    <x v="6"/>
    <x v="0"/>
    <n v="24340"/>
  </r>
  <r>
    <s v="CSKU00390_2EK"/>
    <x v="1"/>
    <x v="1"/>
    <x v="0"/>
    <x v="5"/>
    <x v="1"/>
    <x v="6"/>
    <x v="40"/>
    <x v="0"/>
    <x v="5"/>
    <x v="0"/>
    <n v="24190"/>
  </r>
  <r>
    <s v="CSKU00572_2EK"/>
    <x v="1"/>
    <x v="1"/>
    <x v="0"/>
    <x v="4"/>
    <x v="4"/>
    <x v="6"/>
    <x v="38"/>
    <x v="0"/>
    <x v="5"/>
    <x v="0"/>
    <n v="25020"/>
  </r>
  <r>
    <s v="CSKU00931_2EK"/>
    <x v="1"/>
    <x v="1"/>
    <x v="0"/>
    <x v="5"/>
    <x v="1"/>
    <x v="1"/>
    <x v="36"/>
    <x v="0"/>
    <x v="6"/>
    <x v="0"/>
    <n v="27270"/>
  </r>
  <r>
    <s v="CSKU01291_2EK"/>
    <x v="1"/>
    <x v="1"/>
    <x v="0"/>
    <x v="5"/>
    <x v="1"/>
    <x v="1"/>
    <x v="34"/>
    <x v="0"/>
    <x v="6"/>
    <x v="0"/>
    <n v="27270"/>
  </r>
  <r>
    <s v="CSKU01570_2EK"/>
    <x v="1"/>
    <x v="1"/>
    <x v="1"/>
    <x v="5"/>
    <x v="4"/>
    <x v="6"/>
    <x v="33"/>
    <x v="1"/>
    <x v="5"/>
    <x v="0"/>
    <n v="23870"/>
  </r>
  <r>
    <s v="CSKU01824_2EK"/>
    <x v="1"/>
    <x v="1"/>
    <x v="0"/>
    <x v="1"/>
    <x v="4"/>
    <x v="6"/>
    <x v="115"/>
    <x v="0"/>
    <x v="5"/>
    <x v="0"/>
    <n v="19840"/>
  </r>
  <r>
    <s v="CSKU02186_2EK"/>
    <x v="1"/>
    <x v="1"/>
    <x v="0"/>
    <x v="1"/>
    <x v="1"/>
    <x v="6"/>
    <x v="28"/>
    <x v="0"/>
    <x v="5"/>
    <x v="0"/>
    <n v="21470"/>
  </r>
  <r>
    <s v="CSKU03263_3EK"/>
    <x v="1"/>
    <x v="0"/>
    <x v="0"/>
    <x v="0"/>
    <x v="4"/>
    <x v="6"/>
    <x v="116"/>
    <x v="0"/>
    <x v="7"/>
    <x v="0"/>
    <n v="27730"/>
  </r>
  <r>
    <s v="CSKU03626_3EK"/>
    <x v="1"/>
    <x v="0"/>
    <x v="0"/>
    <x v="0"/>
    <x v="1"/>
    <x v="1"/>
    <x v="26"/>
    <x v="0"/>
    <x v="8"/>
    <x v="0"/>
    <n v="33320"/>
  </r>
  <r>
    <s v="CSKU03989_3EK"/>
    <x v="1"/>
    <x v="0"/>
    <x v="0"/>
    <x v="6"/>
    <x v="1"/>
    <x v="6"/>
    <x v="23"/>
    <x v="0"/>
    <x v="7"/>
    <x v="0"/>
    <n v="34740"/>
  </r>
  <r>
    <s v="CSKU04264_3EK"/>
    <x v="1"/>
    <x v="0"/>
    <x v="0"/>
    <x v="2"/>
    <x v="1"/>
    <x v="1"/>
    <x v="24"/>
    <x v="0"/>
    <x v="8"/>
    <x v="0"/>
    <n v="44020"/>
  </r>
  <r>
    <s v="CSKU04531_3EK"/>
    <x v="1"/>
    <x v="0"/>
    <x v="0"/>
    <x v="2"/>
    <x v="4"/>
    <x v="6"/>
    <x v="19"/>
    <x v="0"/>
    <x v="7"/>
    <x v="0"/>
    <n v="37390"/>
  </r>
  <r>
    <s v="CSKU04636_3EK"/>
    <x v="1"/>
    <x v="0"/>
    <x v="1"/>
    <x v="2"/>
    <x v="1"/>
    <x v="1"/>
    <x v="16"/>
    <x v="1"/>
    <x v="8"/>
    <x v="0"/>
    <n v="46040"/>
  </r>
  <r>
    <s v="CSKU04874_2ES"/>
    <x v="2"/>
    <x v="1"/>
    <x v="1"/>
    <x v="4"/>
    <x v="1"/>
    <x v="7"/>
    <x v="21"/>
    <x v="1"/>
    <x v="9"/>
    <x v="0"/>
    <n v="91480"/>
  </r>
  <r>
    <s v="CSKU05409_2ES"/>
    <x v="2"/>
    <x v="1"/>
    <x v="0"/>
    <x v="0"/>
    <x v="1"/>
    <x v="7"/>
    <x v="20"/>
    <x v="0"/>
    <x v="9"/>
    <x v="0"/>
    <n v="79570"/>
  </r>
  <r>
    <s v="CSKU06565_2ES"/>
    <x v="2"/>
    <x v="1"/>
    <x v="1"/>
    <x v="7"/>
    <x v="4"/>
    <x v="7"/>
    <x v="117"/>
    <x v="1"/>
    <x v="9"/>
    <x v="0"/>
    <n v="69340"/>
  </r>
  <r>
    <s v="CSKU07028_2ES"/>
    <x v="2"/>
    <x v="1"/>
    <x v="0"/>
    <x v="4"/>
    <x v="1"/>
    <x v="7"/>
    <x v="118"/>
    <x v="0"/>
    <x v="9"/>
    <x v="0"/>
    <n v="73420"/>
  </r>
  <r>
    <s v="CSKU07097_2ES"/>
    <x v="2"/>
    <x v="1"/>
    <x v="0"/>
    <x v="4"/>
    <x v="4"/>
    <x v="7"/>
    <x v="119"/>
    <x v="0"/>
    <x v="9"/>
    <x v="0"/>
    <n v="73400"/>
  </r>
  <r>
    <s v="CSKU07568_2ES"/>
    <x v="2"/>
    <x v="1"/>
    <x v="0"/>
    <x v="4"/>
    <x v="1"/>
    <x v="7"/>
    <x v="120"/>
    <x v="0"/>
    <x v="9"/>
    <x v="0"/>
    <n v="73420"/>
  </r>
  <r>
    <s v="CSKU07674_2ES"/>
    <x v="2"/>
    <x v="1"/>
    <x v="0"/>
    <x v="0"/>
    <x v="4"/>
    <x v="7"/>
    <x v="121"/>
    <x v="0"/>
    <x v="9"/>
    <x v="0"/>
    <n v="65990"/>
  </r>
  <r>
    <s v="CSKU07853_2ES"/>
    <x v="2"/>
    <x v="1"/>
    <x v="0"/>
    <x v="4"/>
    <x v="4"/>
    <x v="7"/>
    <x v="122"/>
    <x v="0"/>
    <x v="9"/>
    <x v="0"/>
    <n v="46200"/>
  </r>
  <r>
    <s v="CSKU08364_2ES"/>
    <x v="2"/>
    <x v="1"/>
    <x v="1"/>
    <x v="4"/>
    <x v="1"/>
    <x v="7"/>
    <x v="123"/>
    <x v="1"/>
    <x v="9"/>
    <x v="0"/>
    <n v="80500"/>
  </r>
  <r>
    <s v="CSKU08652_2ES"/>
    <x v="2"/>
    <x v="1"/>
    <x v="1"/>
    <x v="4"/>
    <x v="1"/>
    <x v="7"/>
    <x v="124"/>
    <x v="1"/>
    <x v="9"/>
    <x v="0"/>
    <n v="75010"/>
  </r>
  <r>
    <s v="CSKU08720_2ES"/>
    <x v="2"/>
    <x v="1"/>
    <x v="0"/>
    <x v="4"/>
    <x v="1"/>
    <x v="7"/>
    <x v="125"/>
    <x v="0"/>
    <x v="9"/>
    <x v="0"/>
    <n v="65060"/>
  </r>
  <r>
    <s v="CSKU08901_2ES"/>
    <x v="2"/>
    <x v="1"/>
    <x v="0"/>
    <x v="0"/>
    <x v="1"/>
    <x v="7"/>
    <x v="126"/>
    <x v="0"/>
    <x v="9"/>
    <x v="0"/>
    <n v="90550"/>
  </r>
  <r>
    <s v="CSKU09232_2ES"/>
    <x v="2"/>
    <x v="1"/>
    <x v="1"/>
    <x v="7"/>
    <x v="1"/>
    <x v="7"/>
    <x v="127"/>
    <x v="1"/>
    <x v="9"/>
    <x v="0"/>
    <n v="73530"/>
  </r>
  <r>
    <s v="CSKU09295_2ES"/>
    <x v="2"/>
    <x v="1"/>
    <x v="0"/>
    <x v="7"/>
    <x v="4"/>
    <x v="7"/>
    <x v="128"/>
    <x v="0"/>
    <x v="9"/>
    <x v="0"/>
    <n v="50640"/>
  </r>
  <r>
    <s v="CSKU09369_2ES"/>
    <x v="2"/>
    <x v="1"/>
    <x v="0"/>
    <x v="0"/>
    <x v="1"/>
    <x v="7"/>
    <x v="129"/>
    <x v="0"/>
    <x v="9"/>
    <x v="0"/>
    <n v="55780"/>
  </r>
  <r>
    <s v="CSKU09479_2ES"/>
    <x v="2"/>
    <x v="1"/>
    <x v="1"/>
    <x v="4"/>
    <x v="4"/>
    <x v="7"/>
    <x v="130"/>
    <x v="1"/>
    <x v="9"/>
    <x v="0"/>
    <n v="53590"/>
  </r>
  <r>
    <s v="CSKU09653_2ES"/>
    <x v="2"/>
    <x v="1"/>
    <x v="0"/>
    <x v="4"/>
    <x v="4"/>
    <x v="7"/>
    <x v="131"/>
    <x v="0"/>
    <x v="9"/>
    <x v="0"/>
    <n v="65270"/>
  </r>
  <r>
    <s v="CSKU09697_2ES"/>
    <x v="2"/>
    <x v="1"/>
    <x v="1"/>
    <x v="0"/>
    <x v="4"/>
    <x v="7"/>
    <x v="132"/>
    <x v="1"/>
    <x v="9"/>
    <x v="0"/>
    <n v="80980"/>
  </r>
  <r>
    <s v="CSKU10270_2ES"/>
    <x v="2"/>
    <x v="1"/>
    <x v="0"/>
    <x v="7"/>
    <x v="1"/>
    <x v="7"/>
    <x v="133"/>
    <x v="0"/>
    <x v="9"/>
    <x v="0"/>
    <n v="77630"/>
  </r>
  <r>
    <s v="CSKU10311_2ES"/>
    <x v="2"/>
    <x v="1"/>
    <x v="1"/>
    <x v="7"/>
    <x v="4"/>
    <x v="7"/>
    <x v="134"/>
    <x v="1"/>
    <x v="9"/>
    <x v="0"/>
    <n v="84960"/>
  </r>
  <r>
    <s v="CSKU10379_2ES"/>
    <x v="2"/>
    <x v="1"/>
    <x v="1"/>
    <x v="4"/>
    <x v="4"/>
    <x v="7"/>
    <x v="135"/>
    <x v="1"/>
    <x v="9"/>
    <x v="0"/>
    <n v="71550"/>
  </r>
  <r>
    <s v="CSKU10410_2ES"/>
    <x v="2"/>
    <x v="1"/>
    <x v="0"/>
    <x v="0"/>
    <x v="4"/>
    <x v="7"/>
    <x v="136"/>
    <x v="0"/>
    <x v="9"/>
    <x v="0"/>
    <n v="76930"/>
  </r>
  <r>
    <s v="CSKU10564_2ES"/>
    <x v="2"/>
    <x v="1"/>
    <x v="1"/>
    <x v="7"/>
    <x v="1"/>
    <x v="7"/>
    <x v="137"/>
    <x v="1"/>
    <x v="9"/>
    <x v="0"/>
    <n v="76150"/>
  </r>
  <r>
    <s v="CSKU10703_2ES"/>
    <x v="2"/>
    <x v="1"/>
    <x v="1"/>
    <x v="4"/>
    <x v="4"/>
    <x v="7"/>
    <x v="138"/>
    <x v="1"/>
    <x v="9"/>
    <x v="0"/>
    <n v="64120"/>
  </r>
  <r>
    <s v="CSKU10887_2ES"/>
    <x v="2"/>
    <x v="1"/>
    <x v="1"/>
    <x v="7"/>
    <x v="4"/>
    <x v="7"/>
    <x v="139"/>
    <x v="1"/>
    <x v="9"/>
    <x v="0"/>
    <n v="84960"/>
  </r>
  <r>
    <s v="CSKU10955_2ES"/>
    <x v="2"/>
    <x v="1"/>
    <x v="1"/>
    <x v="4"/>
    <x v="4"/>
    <x v="7"/>
    <x v="140"/>
    <x v="1"/>
    <x v="9"/>
    <x v="0"/>
    <n v="77020"/>
  </r>
  <r>
    <s v="CSKU10985_2ES"/>
    <x v="2"/>
    <x v="1"/>
    <x v="0"/>
    <x v="4"/>
    <x v="4"/>
    <x v="7"/>
    <x v="141"/>
    <x v="0"/>
    <x v="9"/>
    <x v="0"/>
    <n v="69100"/>
  </r>
  <r>
    <s v="CSKU11172_2ES"/>
    <x v="2"/>
    <x v="1"/>
    <x v="1"/>
    <x v="4"/>
    <x v="1"/>
    <x v="7"/>
    <x v="142"/>
    <x v="1"/>
    <x v="9"/>
    <x v="0"/>
    <n v="71080"/>
  </r>
  <r>
    <s v="CSKU11318_2ES"/>
    <x v="2"/>
    <x v="1"/>
    <x v="1"/>
    <x v="4"/>
    <x v="1"/>
    <x v="7"/>
    <x v="143"/>
    <x v="1"/>
    <x v="9"/>
    <x v="0"/>
    <n v="57670"/>
  </r>
  <r>
    <s v="CSKU11422_2ES"/>
    <x v="2"/>
    <x v="1"/>
    <x v="0"/>
    <x v="7"/>
    <x v="1"/>
    <x v="7"/>
    <x v="144"/>
    <x v="0"/>
    <x v="9"/>
    <x v="0"/>
    <n v="64820"/>
  </r>
  <r>
    <s v="CSKU11599_2ES"/>
    <x v="2"/>
    <x v="1"/>
    <x v="0"/>
    <x v="7"/>
    <x v="4"/>
    <x v="7"/>
    <x v="145"/>
    <x v="0"/>
    <x v="9"/>
    <x v="0"/>
    <n v="75030"/>
  </r>
  <r>
    <s v="CSKU11782_2ES"/>
    <x v="2"/>
    <x v="1"/>
    <x v="0"/>
    <x v="7"/>
    <x v="1"/>
    <x v="7"/>
    <x v="146"/>
    <x v="0"/>
    <x v="9"/>
    <x v="0"/>
    <n v="94100"/>
  </r>
  <r>
    <s v="CSKU11813_2ES"/>
    <x v="2"/>
    <x v="1"/>
    <x v="0"/>
    <x v="4"/>
    <x v="4"/>
    <x v="7"/>
    <x v="147"/>
    <x v="0"/>
    <x v="9"/>
    <x v="0"/>
    <n v="69100"/>
  </r>
  <r>
    <s v="CSKU11855_2ES"/>
    <x v="2"/>
    <x v="1"/>
    <x v="1"/>
    <x v="4"/>
    <x v="4"/>
    <x v="7"/>
    <x v="148"/>
    <x v="1"/>
    <x v="9"/>
    <x v="0"/>
    <n v="71550"/>
  </r>
  <r>
    <s v="CSKU12138_2ES"/>
    <x v="2"/>
    <x v="1"/>
    <x v="0"/>
    <x v="0"/>
    <x v="4"/>
    <x v="7"/>
    <x v="149"/>
    <x v="0"/>
    <x v="9"/>
    <x v="0"/>
    <n v="55900"/>
  </r>
  <r>
    <s v="CSKU12181_2ES"/>
    <x v="2"/>
    <x v="1"/>
    <x v="1"/>
    <x v="0"/>
    <x v="4"/>
    <x v="7"/>
    <x v="150"/>
    <x v="1"/>
    <x v="9"/>
    <x v="0"/>
    <n v="68080"/>
  </r>
  <r>
    <s v="CSKU12359_2ES"/>
    <x v="2"/>
    <x v="1"/>
    <x v="1"/>
    <x v="4"/>
    <x v="4"/>
    <x v="7"/>
    <x v="151"/>
    <x v="1"/>
    <x v="9"/>
    <x v="0"/>
    <n v="71550"/>
  </r>
  <r>
    <s v="CSKU12390_2ES"/>
    <x v="2"/>
    <x v="1"/>
    <x v="0"/>
    <x v="0"/>
    <x v="4"/>
    <x v="7"/>
    <x v="152"/>
    <x v="0"/>
    <x v="9"/>
    <x v="0"/>
    <n v="68800"/>
  </r>
  <r>
    <s v="CSKU12540_2ES"/>
    <x v="2"/>
    <x v="1"/>
    <x v="1"/>
    <x v="4"/>
    <x v="1"/>
    <x v="7"/>
    <x v="153"/>
    <x v="1"/>
    <x v="9"/>
    <x v="0"/>
    <n v="80500"/>
  </r>
  <r>
    <s v="CSKU12570_2ES"/>
    <x v="2"/>
    <x v="1"/>
    <x v="0"/>
    <x v="0"/>
    <x v="4"/>
    <x v="7"/>
    <x v="154"/>
    <x v="0"/>
    <x v="9"/>
    <x v="0"/>
    <n v="68330"/>
  </r>
  <r>
    <s v="CSKU13150_2ES"/>
    <x v="2"/>
    <x v="1"/>
    <x v="0"/>
    <x v="7"/>
    <x v="1"/>
    <x v="7"/>
    <x v="155"/>
    <x v="0"/>
    <x v="9"/>
    <x v="0"/>
    <n v="74580"/>
  </r>
  <r>
    <s v="CSKU13289_2ES"/>
    <x v="2"/>
    <x v="1"/>
    <x v="0"/>
    <x v="4"/>
    <x v="4"/>
    <x v="7"/>
    <x v="156"/>
    <x v="0"/>
    <x v="9"/>
    <x v="0"/>
    <n v="73400"/>
  </r>
  <r>
    <s v="CSKU13547_2ES"/>
    <x v="2"/>
    <x v="1"/>
    <x v="1"/>
    <x v="4"/>
    <x v="4"/>
    <x v="7"/>
    <x v="157"/>
    <x v="1"/>
    <x v="9"/>
    <x v="0"/>
    <n v="77020"/>
  </r>
  <r>
    <s v="CSKU13689_3ES"/>
    <x v="2"/>
    <x v="0"/>
    <x v="0"/>
    <x v="8"/>
    <x v="1"/>
    <x v="7"/>
    <x v="158"/>
    <x v="0"/>
    <x v="14"/>
    <x v="0"/>
    <n v="83880"/>
  </r>
  <r>
    <s v="CSKU13732_3ES"/>
    <x v="2"/>
    <x v="0"/>
    <x v="1"/>
    <x v="9"/>
    <x v="1"/>
    <x v="7"/>
    <x v="159"/>
    <x v="1"/>
    <x v="14"/>
    <x v="0"/>
    <n v="125710"/>
  </r>
  <r>
    <s v="CSKU13800_3ES"/>
    <x v="2"/>
    <x v="0"/>
    <x v="1"/>
    <x v="2"/>
    <x v="1"/>
    <x v="7"/>
    <x v="160"/>
    <x v="1"/>
    <x v="14"/>
    <x v="0"/>
    <n v="115780"/>
  </r>
  <r>
    <s v="CSKU13830_3ES"/>
    <x v="2"/>
    <x v="0"/>
    <x v="0"/>
    <x v="8"/>
    <x v="4"/>
    <x v="7"/>
    <x v="161"/>
    <x v="0"/>
    <x v="14"/>
    <x v="0"/>
    <n v="98080"/>
  </r>
  <r>
    <s v="CSKU13982_3ES"/>
    <x v="2"/>
    <x v="0"/>
    <x v="1"/>
    <x v="8"/>
    <x v="1"/>
    <x v="7"/>
    <x v="162"/>
    <x v="1"/>
    <x v="14"/>
    <x v="0"/>
    <n v="107900"/>
  </r>
  <r>
    <s v="CSKU14012_3ES"/>
    <x v="2"/>
    <x v="0"/>
    <x v="0"/>
    <x v="2"/>
    <x v="1"/>
    <x v="7"/>
    <x v="163"/>
    <x v="0"/>
    <x v="14"/>
    <x v="0"/>
    <n v="126070"/>
  </r>
  <r>
    <s v="CSKU14339_3ES"/>
    <x v="2"/>
    <x v="0"/>
    <x v="1"/>
    <x v="2"/>
    <x v="4"/>
    <x v="7"/>
    <x v="164"/>
    <x v="1"/>
    <x v="14"/>
    <x v="0"/>
    <n v="96120"/>
  </r>
  <r>
    <s v="CSKU14378_3ES"/>
    <x v="2"/>
    <x v="0"/>
    <x v="1"/>
    <x v="8"/>
    <x v="1"/>
    <x v="7"/>
    <x v="165"/>
    <x v="1"/>
    <x v="14"/>
    <x v="0"/>
    <n v="99350"/>
  </r>
  <r>
    <s v="CSKU14411_3ES"/>
    <x v="2"/>
    <x v="0"/>
    <x v="1"/>
    <x v="2"/>
    <x v="4"/>
    <x v="7"/>
    <x v="166"/>
    <x v="1"/>
    <x v="14"/>
    <x v="0"/>
    <n v="99630"/>
  </r>
  <r>
    <s v="CSKU14449_3ES"/>
    <x v="2"/>
    <x v="0"/>
    <x v="1"/>
    <x v="8"/>
    <x v="4"/>
    <x v="7"/>
    <x v="167"/>
    <x v="1"/>
    <x v="14"/>
    <x v="0"/>
    <n v="93080"/>
  </r>
  <r>
    <s v="CSKU14481_3ES"/>
    <x v="2"/>
    <x v="0"/>
    <x v="0"/>
    <x v="8"/>
    <x v="1"/>
    <x v="7"/>
    <x v="168"/>
    <x v="0"/>
    <x v="14"/>
    <x v="0"/>
    <n v="129630"/>
  </r>
  <r>
    <s v="CSKU14519_3ES"/>
    <x v="2"/>
    <x v="0"/>
    <x v="1"/>
    <x v="2"/>
    <x v="4"/>
    <x v="7"/>
    <x v="169"/>
    <x v="1"/>
    <x v="14"/>
    <x v="0"/>
    <n v="112530"/>
  </r>
  <r>
    <s v="CSKU14549_3ES"/>
    <x v="2"/>
    <x v="0"/>
    <x v="0"/>
    <x v="2"/>
    <x v="4"/>
    <x v="7"/>
    <x v="170"/>
    <x v="0"/>
    <x v="14"/>
    <x v="0"/>
    <n v="94520"/>
  </r>
  <r>
    <s v="CSKU14667_3ES"/>
    <x v="2"/>
    <x v="0"/>
    <x v="1"/>
    <x v="9"/>
    <x v="4"/>
    <x v="7"/>
    <x v="171"/>
    <x v="1"/>
    <x v="14"/>
    <x v="0"/>
    <n v="97050"/>
  </r>
  <r>
    <s v="CSKU15169_3ES"/>
    <x v="2"/>
    <x v="0"/>
    <x v="1"/>
    <x v="8"/>
    <x v="4"/>
    <x v="7"/>
    <x v="172"/>
    <x v="1"/>
    <x v="14"/>
    <x v="0"/>
    <n v="116510"/>
  </r>
  <r>
    <s v="CSKU15207_3ES"/>
    <x v="2"/>
    <x v="0"/>
    <x v="1"/>
    <x v="9"/>
    <x v="4"/>
    <x v="7"/>
    <x v="173"/>
    <x v="1"/>
    <x v="14"/>
    <x v="0"/>
    <n v="107580"/>
  </r>
  <r>
    <s v="CSKU15237_3ES"/>
    <x v="2"/>
    <x v="0"/>
    <x v="0"/>
    <x v="8"/>
    <x v="1"/>
    <x v="7"/>
    <x v="174"/>
    <x v="0"/>
    <x v="14"/>
    <x v="0"/>
    <n v="113160"/>
  </r>
  <r>
    <s v="CSKU15490_3ES"/>
    <x v="2"/>
    <x v="0"/>
    <x v="0"/>
    <x v="9"/>
    <x v="1"/>
    <x v="7"/>
    <x v="175"/>
    <x v="0"/>
    <x v="14"/>
    <x v="0"/>
    <n v="105660"/>
  </r>
  <r>
    <s v="CSKU15568_3ES"/>
    <x v="2"/>
    <x v="0"/>
    <x v="1"/>
    <x v="9"/>
    <x v="1"/>
    <x v="7"/>
    <x v="176"/>
    <x v="1"/>
    <x v="14"/>
    <x v="0"/>
    <n v="142180"/>
  </r>
  <r>
    <s v="CSKU15817_3ES"/>
    <x v="2"/>
    <x v="0"/>
    <x v="1"/>
    <x v="8"/>
    <x v="4"/>
    <x v="7"/>
    <x v="177"/>
    <x v="1"/>
    <x v="14"/>
    <x v="0"/>
    <n v="107910"/>
  </r>
  <r>
    <s v="CSKU15848_3ES"/>
    <x v="2"/>
    <x v="0"/>
    <x v="0"/>
    <x v="2"/>
    <x v="1"/>
    <x v="7"/>
    <x v="178"/>
    <x v="0"/>
    <x v="14"/>
    <x v="0"/>
    <n v="115090"/>
  </r>
  <r>
    <s v="CSKU15890_3ES"/>
    <x v="2"/>
    <x v="0"/>
    <x v="1"/>
    <x v="8"/>
    <x v="1"/>
    <x v="7"/>
    <x v="179"/>
    <x v="1"/>
    <x v="14"/>
    <x v="0"/>
    <n v="125240"/>
  </r>
  <r>
    <s v="CSKU15928_3ES"/>
    <x v="2"/>
    <x v="0"/>
    <x v="1"/>
    <x v="9"/>
    <x v="1"/>
    <x v="7"/>
    <x v="180"/>
    <x v="1"/>
    <x v="14"/>
    <x v="0"/>
    <n v="109240"/>
  </r>
  <r>
    <s v="CSKU16282_3ES"/>
    <x v="2"/>
    <x v="0"/>
    <x v="0"/>
    <x v="9"/>
    <x v="1"/>
    <x v="7"/>
    <x v="181"/>
    <x v="0"/>
    <x v="14"/>
    <x v="0"/>
    <n v="99380"/>
  </r>
  <r>
    <s v="CSKU16604_3ES"/>
    <x v="2"/>
    <x v="0"/>
    <x v="0"/>
    <x v="2"/>
    <x v="1"/>
    <x v="7"/>
    <x v="182"/>
    <x v="0"/>
    <x v="14"/>
    <x v="0"/>
    <n v="126070"/>
  </r>
  <r>
    <s v="CSKU16676_3ES"/>
    <x v="2"/>
    <x v="0"/>
    <x v="0"/>
    <x v="2"/>
    <x v="1"/>
    <x v="7"/>
    <x v="183"/>
    <x v="0"/>
    <x v="14"/>
    <x v="0"/>
    <n v="104110"/>
  </r>
  <r>
    <s v="CSKU16716_3ES"/>
    <x v="2"/>
    <x v="0"/>
    <x v="1"/>
    <x v="2"/>
    <x v="1"/>
    <x v="7"/>
    <x v="184"/>
    <x v="1"/>
    <x v="14"/>
    <x v="0"/>
    <n v="113370"/>
  </r>
  <r>
    <s v="CSKU16925_3ES"/>
    <x v="2"/>
    <x v="0"/>
    <x v="0"/>
    <x v="2"/>
    <x v="4"/>
    <x v="7"/>
    <x v="185"/>
    <x v="0"/>
    <x v="14"/>
    <x v="0"/>
    <n v="91160"/>
  </r>
  <r>
    <s v="CSKU16998_3ES"/>
    <x v="2"/>
    <x v="0"/>
    <x v="0"/>
    <x v="8"/>
    <x v="4"/>
    <x v="7"/>
    <x v="186"/>
    <x v="0"/>
    <x v="14"/>
    <x v="0"/>
    <n v="77520"/>
  </r>
  <r>
    <s v="CSKU17039_3ES"/>
    <x v="2"/>
    <x v="0"/>
    <x v="1"/>
    <x v="2"/>
    <x v="4"/>
    <x v="7"/>
    <x v="187"/>
    <x v="1"/>
    <x v="14"/>
    <x v="0"/>
    <n v="95330"/>
  </r>
  <r>
    <s v="CSKU17218_3ES"/>
    <x v="2"/>
    <x v="0"/>
    <x v="0"/>
    <x v="9"/>
    <x v="1"/>
    <x v="7"/>
    <x v="188"/>
    <x v="0"/>
    <x v="14"/>
    <x v="0"/>
    <n v="134940"/>
  </r>
  <r>
    <s v="CSKU17258_3ES"/>
    <x v="2"/>
    <x v="0"/>
    <x v="1"/>
    <x v="8"/>
    <x v="1"/>
    <x v="7"/>
    <x v="189"/>
    <x v="1"/>
    <x v="14"/>
    <x v="0"/>
    <n v="136220"/>
  </r>
  <r>
    <s v="CSKU17288_3ES"/>
    <x v="2"/>
    <x v="0"/>
    <x v="0"/>
    <x v="8"/>
    <x v="1"/>
    <x v="7"/>
    <x v="190"/>
    <x v="0"/>
    <x v="14"/>
    <x v="0"/>
    <n v="90590"/>
  </r>
  <r>
    <s v="CSKU17329_3ES"/>
    <x v="2"/>
    <x v="0"/>
    <x v="1"/>
    <x v="8"/>
    <x v="4"/>
    <x v="7"/>
    <x v="191"/>
    <x v="1"/>
    <x v="14"/>
    <x v="0"/>
    <n v="116510"/>
  </r>
  <r>
    <s v="CSKU17440_3ES"/>
    <x v="2"/>
    <x v="0"/>
    <x v="1"/>
    <x v="9"/>
    <x v="1"/>
    <x v="7"/>
    <x v="192"/>
    <x v="1"/>
    <x v="14"/>
    <x v="0"/>
    <n v="109240"/>
  </r>
  <r>
    <s v="CSKU17647_3ES"/>
    <x v="2"/>
    <x v="0"/>
    <x v="0"/>
    <x v="9"/>
    <x v="4"/>
    <x v="7"/>
    <x v="193"/>
    <x v="0"/>
    <x v="14"/>
    <x v="0"/>
    <n v="105920"/>
  </r>
  <r>
    <s v="CSKU17684_3ES"/>
    <x v="2"/>
    <x v="0"/>
    <x v="0"/>
    <x v="2"/>
    <x v="1"/>
    <x v="7"/>
    <x v="194"/>
    <x v="0"/>
    <x v="14"/>
    <x v="0"/>
    <n v="126070"/>
  </r>
  <r>
    <s v="CSKU17722_3ES"/>
    <x v="2"/>
    <x v="0"/>
    <x v="0"/>
    <x v="9"/>
    <x v="1"/>
    <x v="7"/>
    <x v="195"/>
    <x v="0"/>
    <x v="14"/>
    <x v="0"/>
    <n v="107740"/>
  </r>
  <r>
    <s v="CSKU17754_3ES"/>
    <x v="2"/>
    <x v="0"/>
    <x v="0"/>
    <x v="8"/>
    <x v="4"/>
    <x v="7"/>
    <x v="196"/>
    <x v="0"/>
    <x v="14"/>
    <x v="0"/>
    <n v="89100"/>
  </r>
  <r>
    <s v="CSKU17794_3ES"/>
    <x v="2"/>
    <x v="0"/>
    <x v="0"/>
    <x v="9"/>
    <x v="1"/>
    <x v="7"/>
    <x v="197"/>
    <x v="0"/>
    <x v="14"/>
    <x v="0"/>
    <n v="95900"/>
  </r>
  <r>
    <s v="CSKU17834_3ES"/>
    <x v="2"/>
    <x v="0"/>
    <x v="1"/>
    <x v="8"/>
    <x v="1"/>
    <x v="7"/>
    <x v="198"/>
    <x v="1"/>
    <x v="14"/>
    <x v="0"/>
    <n v="136220"/>
  </r>
  <r>
    <s v="CSKU18115_3ES"/>
    <x v="2"/>
    <x v="0"/>
    <x v="0"/>
    <x v="9"/>
    <x v="4"/>
    <x v="7"/>
    <x v="199"/>
    <x v="0"/>
    <x v="14"/>
    <x v="0"/>
    <n v="114520"/>
  </r>
  <r>
    <s v="CSKU18158_3ES"/>
    <x v="2"/>
    <x v="0"/>
    <x v="1"/>
    <x v="8"/>
    <x v="1"/>
    <x v="7"/>
    <x v="200"/>
    <x v="1"/>
    <x v="14"/>
    <x v="0"/>
    <n v="136220"/>
  </r>
  <r>
    <s v="CSKU18293_3ES"/>
    <x v="2"/>
    <x v="0"/>
    <x v="0"/>
    <x v="2"/>
    <x v="4"/>
    <x v="7"/>
    <x v="201"/>
    <x v="0"/>
    <x v="14"/>
    <x v="0"/>
    <n v="94520"/>
  </r>
  <r>
    <s v="CSKU18368_3ES"/>
    <x v="2"/>
    <x v="0"/>
    <x v="0"/>
    <x v="2"/>
    <x v="1"/>
    <x v="7"/>
    <x v="202"/>
    <x v="0"/>
    <x v="14"/>
    <x v="0"/>
    <n v="109600"/>
  </r>
  <r>
    <s v="CSKU18483_3ES"/>
    <x v="2"/>
    <x v="0"/>
    <x v="1"/>
    <x v="9"/>
    <x v="4"/>
    <x v="7"/>
    <x v="203"/>
    <x v="1"/>
    <x v="14"/>
    <x v="0"/>
    <n v="120480"/>
  </r>
  <r>
    <s v="CSKU18510_3ES"/>
    <x v="2"/>
    <x v="0"/>
    <x v="0"/>
    <x v="8"/>
    <x v="4"/>
    <x v="7"/>
    <x v="204"/>
    <x v="0"/>
    <x v="14"/>
    <x v="0"/>
    <n v="110980"/>
  </r>
  <r>
    <s v="CSKU18553_3ES"/>
    <x v="2"/>
    <x v="0"/>
    <x v="1"/>
    <x v="8"/>
    <x v="4"/>
    <x v="7"/>
    <x v="205"/>
    <x v="1"/>
    <x v="14"/>
    <x v="0"/>
    <n v="116510"/>
  </r>
  <r>
    <s v="CSKU18591_3ES"/>
    <x v="2"/>
    <x v="0"/>
    <x v="1"/>
    <x v="9"/>
    <x v="4"/>
    <x v="7"/>
    <x v="206"/>
    <x v="1"/>
    <x v="14"/>
    <x v="0"/>
    <n v="104070"/>
  </r>
  <r>
    <s v="CSKU18618_3ES"/>
    <x v="2"/>
    <x v="0"/>
    <x v="0"/>
    <x v="8"/>
    <x v="4"/>
    <x v="7"/>
    <x v="207"/>
    <x v="0"/>
    <x v="14"/>
    <x v="0"/>
    <n v="81670"/>
  </r>
  <r>
    <s v="CSKU18660_3ES"/>
    <x v="2"/>
    <x v="0"/>
    <x v="1"/>
    <x v="2"/>
    <x v="1"/>
    <x v="7"/>
    <x v="208"/>
    <x v="1"/>
    <x v="14"/>
    <x v="0"/>
    <n v="111850"/>
  </r>
  <r>
    <s v="CSKU18733_3ES"/>
    <x v="2"/>
    <x v="0"/>
    <x v="1"/>
    <x v="8"/>
    <x v="4"/>
    <x v="7"/>
    <x v="209"/>
    <x v="1"/>
    <x v="14"/>
    <x v="0"/>
    <n v="100100"/>
  </r>
  <r>
    <s v="CSKU18842_3ES"/>
    <x v="2"/>
    <x v="0"/>
    <x v="1"/>
    <x v="8"/>
    <x v="1"/>
    <x v="7"/>
    <x v="210"/>
    <x v="1"/>
    <x v="14"/>
    <x v="0"/>
    <n v="91430"/>
  </r>
  <r>
    <s v="CSKU18874_3ES"/>
    <x v="2"/>
    <x v="0"/>
    <x v="0"/>
    <x v="9"/>
    <x v="1"/>
    <x v="7"/>
    <x v="211"/>
    <x v="0"/>
    <x v="14"/>
    <x v="0"/>
    <n v="85260"/>
  </r>
  <r>
    <s v="CSKU18909_3ES"/>
    <x v="2"/>
    <x v="0"/>
    <x v="0"/>
    <x v="8"/>
    <x v="1"/>
    <x v="7"/>
    <x v="212"/>
    <x v="0"/>
    <x v="14"/>
    <x v="0"/>
    <n v="100350"/>
  </r>
  <r>
    <s v="CSKU18951_3ES"/>
    <x v="2"/>
    <x v="0"/>
    <x v="1"/>
    <x v="9"/>
    <x v="4"/>
    <x v="7"/>
    <x v="213"/>
    <x v="1"/>
    <x v="14"/>
    <x v="0"/>
    <n v="97050"/>
  </r>
  <r>
    <s v="CSKU19024_3ES"/>
    <x v="2"/>
    <x v="0"/>
    <x v="1"/>
    <x v="9"/>
    <x v="1"/>
    <x v="7"/>
    <x v="214"/>
    <x v="1"/>
    <x v="14"/>
    <x v="0"/>
    <n v="113860"/>
  </r>
  <r>
    <s v="CSKU19053_3ES"/>
    <x v="2"/>
    <x v="0"/>
    <x v="0"/>
    <x v="8"/>
    <x v="1"/>
    <x v="7"/>
    <x v="215"/>
    <x v="0"/>
    <x v="14"/>
    <x v="0"/>
    <n v="83880"/>
  </r>
  <r>
    <s v="CSKU19123_3ES"/>
    <x v="2"/>
    <x v="0"/>
    <x v="0"/>
    <x v="9"/>
    <x v="4"/>
    <x v="7"/>
    <x v="216"/>
    <x v="0"/>
    <x v="14"/>
    <x v="0"/>
    <n v="101620"/>
  </r>
  <r>
    <s v="CSKU19163_3ES"/>
    <x v="2"/>
    <x v="0"/>
    <x v="1"/>
    <x v="2"/>
    <x v="4"/>
    <x v="7"/>
    <x v="217"/>
    <x v="1"/>
    <x v="14"/>
    <x v="0"/>
    <n v="99630"/>
  </r>
  <r>
    <s v="CSKU19195_3ES"/>
    <x v="2"/>
    <x v="0"/>
    <x v="0"/>
    <x v="9"/>
    <x v="4"/>
    <x v="7"/>
    <x v="218"/>
    <x v="0"/>
    <x v="14"/>
    <x v="0"/>
    <n v="101620"/>
  </r>
  <r>
    <s v="CSKU19236_3ES"/>
    <x v="2"/>
    <x v="0"/>
    <x v="1"/>
    <x v="2"/>
    <x v="1"/>
    <x v="7"/>
    <x v="219"/>
    <x v="1"/>
    <x v="14"/>
    <x v="0"/>
    <n v="115780"/>
  </r>
  <r>
    <s v="CSKU19395_2PR"/>
    <x v="0"/>
    <x v="1"/>
    <x v="1"/>
    <x v="5"/>
    <x v="0"/>
    <x v="0"/>
    <x v="220"/>
    <x v="1"/>
    <x v="12"/>
    <x v="0"/>
    <n v="32120"/>
  </r>
  <r>
    <s v="CSKU19430_2PR"/>
    <x v="0"/>
    <x v="1"/>
    <x v="1"/>
    <x v="1"/>
    <x v="0"/>
    <x v="0"/>
    <x v="221"/>
    <x v="1"/>
    <x v="12"/>
    <x v="0"/>
    <n v="27840"/>
  </r>
  <r>
    <s v="CSKU19554_3PR"/>
    <x v="0"/>
    <x v="0"/>
    <x v="0"/>
    <x v="6"/>
    <x v="0"/>
    <x v="0"/>
    <x v="222"/>
    <x v="0"/>
    <x v="10"/>
    <x v="0"/>
    <n v="41820"/>
  </r>
  <r>
    <s v="CSKU19601_3PR"/>
    <x v="0"/>
    <x v="0"/>
    <x v="0"/>
    <x v="0"/>
    <x v="0"/>
    <x v="0"/>
    <x v="223"/>
    <x v="0"/>
    <x v="10"/>
    <x v="0"/>
    <n v="30830"/>
  </r>
  <r>
    <s v="CSKU19717_3SPR"/>
    <x v="4"/>
    <x v="0"/>
    <x v="0"/>
    <x v="2"/>
    <x v="0"/>
    <x v="0"/>
    <x v="224"/>
    <x v="0"/>
    <x v="15"/>
    <x v="0"/>
    <n v="49760"/>
  </r>
  <r>
    <s v="CSKU19794_3PR"/>
    <x v="0"/>
    <x v="0"/>
    <x v="0"/>
    <x v="6"/>
    <x v="0"/>
    <x v="0"/>
    <x v="225"/>
    <x v="0"/>
    <x v="10"/>
    <x v="0"/>
    <n v="41820"/>
  </r>
  <r>
    <s v="CSKU75415_2EK"/>
    <x v="1"/>
    <x v="1"/>
    <x v="0"/>
    <x v="0"/>
    <x v="4"/>
    <x v="6"/>
    <x v="226"/>
    <x v="0"/>
    <x v="7"/>
    <x v="0"/>
    <n v="22150"/>
  </r>
  <r>
    <s v="CSKU75565_2PR"/>
    <x v="0"/>
    <x v="1"/>
    <x v="1"/>
    <x v="4"/>
    <x v="0"/>
    <x v="0"/>
    <x v="227"/>
    <x v="1"/>
    <x v="12"/>
    <x v="0"/>
    <n v="19640"/>
  </r>
  <r>
    <s v="CSKU75966_3PR"/>
    <x v="0"/>
    <x v="0"/>
    <x v="0"/>
    <x v="0"/>
    <x v="0"/>
    <x v="0"/>
    <x v="228"/>
    <x v="0"/>
    <x v="10"/>
    <x v="0"/>
    <n v="19300"/>
  </r>
  <r>
    <s v="CSKU75967_3PR"/>
    <x v="0"/>
    <x v="0"/>
    <x v="0"/>
    <x v="6"/>
    <x v="0"/>
    <x v="0"/>
    <x v="228"/>
    <x v="0"/>
    <x v="10"/>
    <x v="0"/>
    <n v="22060"/>
  </r>
  <r>
    <s v="CSKU75968_3PR"/>
    <x v="0"/>
    <x v="0"/>
    <x v="1"/>
    <x v="0"/>
    <x v="0"/>
    <x v="0"/>
    <x v="228"/>
    <x v="1"/>
    <x v="10"/>
    <x v="0"/>
    <n v="21620"/>
  </r>
  <r>
    <s v="CSKU75969_3PR"/>
    <x v="0"/>
    <x v="0"/>
    <x v="1"/>
    <x v="6"/>
    <x v="0"/>
    <x v="0"/>
    <x v="228"/>
    <x v="1"/>
    <x v="10"/>
    <x v="0"/>
    <n v="24710"/>
  </r>
  <r>
    <s v="CSKU76005_3SPR"/>
    <x v="4"/>
    <x v="0"/>
    <x v="0"/>
    <x v="2"/>
    <x v="0"/>
    <x v="0"/>
    <x v="229"/>
    <x v="0"/>
    <x v="15"/>
    <x v="0"/>
    <n v="27550"/>
  </r>
  <r>
    <s v="CSKU76006_3SPR"/>
    <x v="4"/>
    <x v="0"/>
    <x v="1"/>
    <x v="2"/>
    <x v="0"/>
    <x v="0"/>
    <x v="229"/>
    <x v="1"/>
    <x v="15"/>
    <x v="0"/>
    <n v="30480"/>
  </r>
  <r>
    <s v="CSKU76010_3SPR"/>
    <x v="4"/>
    <x v="0"/>
    <x v="0"/>
    <x v="2"/>
    <x v="0"/>
    <x v="0"/>
    <x v="230"/>
    <x v="0"/>
    <x v="15"/>
    <x v="0"/>
    <n v="27550"/>
  </r>
  <r>
    <s v="CSKU76011_3SPR"/>
    <x v="4"/>
    <x v="0"/>
    <x v="1"/>
    <x v="2"/>
    <x v="0"/>
    <x v="0"/>
    <x v="230"/>
    <x v="1"/>
    <x v="15"/>
    <x v="0"/>
    <n v="30480"/>
  </r>
  <r>
    <s v="CSKU76035_3SPR"/>
    <x v="4"/>
    <x v="0"/>
    <x v="0"/>
    <x v="2"/>
    <x v="0"/>
    <x v="0"/>
    <x v="231"/>
    <x v="0"/>
    <x v="15"/>
    <x v="0"/>
    <n v="27550"/>
  </r>
  <r>
    <s v="CSKU76036_3SPR"/>
    <x v="4"/>
    <x v="0"/>
    <x v="1"/>
    <x v="2"/>
    <x v="0"/>
    <x v="0"/>
    <x v="231"/>
    <x v="1"/>
    <x v="15"/>
    <x v="0"/>
    <n v="30480"/>
  </r>
  <r>
    <s v="CSKU75954_3PR"/>
    <x v="0"/>
    <x v="0"/>
    <x v="1"/>
    <x v="0"/>
    <x v="0"/>
    <x v="0"/>
    <x v="232"/>
    <x v="1"/>
    <x v="10"/>
    <x v="0"/>
    <n v="21620"/>
  </r>
  <r>
    <s v="CSKU75955_3PR"/>
    <x v="0"/>
    <x v="0"/>
    <x v="1"/>
    <x v="6"/>
    <x v="0"/>
    <x v="0"/>
    <x v="232"/>
    <x v="1"/>
    <x v="10"/>
    <x v="0"/>
    <n v="24710"/>
  </r>
  <r>
    <s v="CSKU76015_3SPR"/>
    <x v="4"/>
    <x v="0"/>
    <x v="0"/>
    <x v="2"/>
    <x v="0"/>
    <x v="0"/>
    <x v="233"/>
    <x v="0"/>
    <x v="15"/>
    <x v="0"/>
    <n v="27550"/>
  </r>
  <r>
    <s v="CSKU75840_3PR"/>
    <x v="0"/>
    <x v="0"/>
    <x v="0"/>
    <x v="0"/>
    <x v="0"/>
    <x v="0"/>
    <x v="234"/>
    <x v="0"/>
    <x v="10"/>
    <x v="0"/>
    <n v="19300"/>
  </r>
  <r>
    <s v="CSKU75841_3PR"/>
    <x v="0"/>
    <x v="0"/>
    <x v="0"/>
    <x v="6"/>
    <x v="0"/>
    <x v="0"/>
    <x v="234"/>
    <x v="0"/>
    <x v="10"/>
    <x v="0"/>
    <n v="22060"/>
  </r>
  <r>
    <s v="CSKU75842_3PR"/>
    <x v="0"/>
    <x v="0"/>
    <x v="1"/>
    <x v="0"/>
    <x v="0"/>
    <x v="0"/>
    <x v="234"/>
    <x v="1"/>
    <x v="10"/>
    <x v="0"/>
    <n v="21620"/>
  </r>
  <r>
    <s v="CSKU75868_3PR"/>
    <x v="0"/>
    <x v="0"/>
    <x v="0"/>
    <x v="0"/>
    <x v="0"/>
    <x v="0"/>
    <x v="235"/>
    <x v="0"/>
    <x v="10"/>
    <x v="0"/>
    <n v="19300"/>
  </r>
  <r>
    <s v="CSKU75869_3PR"/>
    <x v="0"/>
    <x v="0"/>
    <x v="0"/>
    <x v="6"/>
    <x v="0"/>
    <x v="0"/>
    <x v="235"/>
    <x v="0"/>
    <x v="10"/>
    <x v="0"/>
    <n v="22060"/>
  </r>
  <r>
    <s v="CSKU75870_3PR"/>
    <x v="0"/>
    <x v="0"/>
    <x v="1"/>
    <x v="0"/>
    <x v="0"/>
    <x v="0"/>
    <x v="235"/>
    <x v="1"/>
    <x v="10"/>
    <x v="0"/>
    <n v="21620"/>
  </r>
  <r>
    <s v="CSKU75871_3PR"/>
    <x v="0"/>
    <x v="0"/>
    <x v="1"/>
    <x v="6"/>
    <x v="0"/>
    <x v="0"/>
    <x v="235"/>
    <x v="1"/>
    <x v="10"/>
    <x v="0"/>
    <n v="24710"/>
  </r>
  <r>
    <s v="CSKU75910_3PR"/>
    <x v="0"/>
    <x v="0"/>
    <x v="0"/>
    <x v="0"/>
    <x v="0"/>
    <x v="0"/>
    <x v="236"/>
    <x v="0"/>
    <x v="10"/>
    <x v="0"/>
    <n v="19300"/>
  </r>
  <r>
    <s v="CSKU75911_3PR"/>
    <x v="0"/>
    <x v="0"/>
    <x v="0"/>
    <x v="6"/>
    <x v="0"/>
    <x v="0"/>
    <x v="236"/>
    <x v="0"/>
    <x v="10"/>
    <x v="0"/>
    <n v="22060"/>
  </r>
  <r>
    <s v="CSKU75912_3PR"/>
    <x v="0"/>
    <x v="0"/>
    <x v="1"/>
    <x v="0"/>
    <x v="0"/>
    <x v="0"/>
    <x v="236"/>
    <x v="1"/>
    <x v="10"/>
    <x v="0"/>
    <n v="21620"/>
  </r>
  <r>
    <s v="CSKU75913_3PR"/>
    <x v="0"/>
    <x v="0"/>
    <x v="1"/>
    <x v="6"/>
    <x v="0"/>
    <x v="0"/>
    <x v="236"/>
    <x v="1"/>
    <x v="10"/>
    <x v="0"/>
    <n v="24710"/>
  </r>
  <r>
    <s v="CSKU75980_3SPR"/>
    <x v="4"/>
    <x v="0"/>
    <x v="0"/>
    <x v="2"/>
    <x v="0"/>
    <x v="0"/>
    <x v="237"/>
    <x v="0"/>
    <x v="15"/>
    <x v="0"/>
    <n v="27550"/>
  </r>
  <r>
    <s v="CSKU75981_3SPR"/>
    <x v="4"/>
    <x v="0"/>
    <x v="1"/>
    <x v="2"/>
    <x v="0"/>
    <x v="0"/>
    <x v="237"/>
    <x v="1"/>
    <x v="15"/>
    <x v="0"/>
    <n v="30480"/>
  </r>
  <r>
    <s v="CSKU76000_3SPR"/>
    <x v="4"/>
    <x v="0"/>
    <x v="0"/>
    <x v="2"/>
    <x v="0"/>
    <x v="0"/>
    <x v="238"/>
    <x v="0"/>
    <x v="15"/>
    <x v="0"/>
    <n v="27550"/>
  </r>
  <r>
    <s v="CSKU76001_3SPR"/>
    <x v="4"/>
    <x v="0"/>
    <x v="1"/>
    <x v="2"/>
    <x v="0"/>
    <x v="0"/>
    <x v="238"/>
    <x v="1"/>
    <x v="15"/>
    <x v="0"/>
    <n v="30480"/>
  </r>
  <r>
    <s v="CSKU76016_3SPR"/>
    <x v="4"/>
    <x v="0"/>
    <x v="1"/>
    <x v="2"/>
    <x v="0"/>
    <x v="0"/>
    <x v="233"/>
    <x v="1"/>
    <x v="15"/>
    <x v="0"/>
    <n v="30480"/>
  </r>
  <r>
    <s v="CSKU76020_3SPR"/>
    <x v="4"/>
    <x v="0"/>
    <x v="0"/>
    <x v="2"/>
    <x v="0"/>
    <x v="0"/>
    <x v="239"/>
    <x v="0"/>
    <x v="15"/>
    <x v="0"/>
    <n v="27550"/>
  </r>
  <r>
    <s v="CSKU76021_3SPR"/>
    <x v="4"/>
    <x v="0"/>
    <x v="1"/>
    <x v="2"/>
    <x v="0"/>
    <x v="0"/>
    <x v="239"/>
    <x v="1"/>
    <x v="15"/>
    <x v="0"/>
    <n v="30480"/>
  </r>
  <r>
    <s v="CSKU76030_3SPR"/>
    <x v="4"/>
    <x v="0"/>
    <x v="0"/>
    <x v="2"/>
    <x v="0"/>
    <x v="0"/>
    <x v="240"/>
    <x v="0"/>
    <x v="15"/>
    <x v="0"/>
    <n v="27550"/>
  </r>
  <r>
    <s v="CSKU76031_3SPR"/>
    <x v="4"/>
    <x v="0"/>
    <x v="1"/>
    <x v="2"/>
    <x v="0"/>
    <x v="0"/>
    <x v="240"/>
    <x v="1"/>
    <x v="15"/>
    <x v="0"/>
    <n v="30480"/>
  </r>
  <r>
    <s v="CSKU75771_2PR"/>
    <x v="0"/>
    <x v="1"/>
    <x v="0"/>
    <x v="5"/>
    <x v="0"/>
    <x v="0"/>
    <x v="241"/>
    <x v="0"/>
    <x v="12"/>
    <x v="0"/>
    <n v="18380"/>
  </r>
  <r>
    <s v="CSKU75772_2PR"/>
    <x v="0"/>
    <x v="1"/>
    <x v="0"/>
    <x v="4"/>
    <x v="0"/>
    <x v="0"/>
    <x v="241"/>
    <x v="0"/>
    <x v="12"/>
    <x v="0"/>
    <n v="17530"/>
  </r>
  <r>
    <s v="CSKU75773_2PR"/>
    <x v="0"/>
    <x v="1"/>
    <x v="1"/>
    <x v="1"/>
    <x v="0"/>
    <x v="0"/>
    <x v="241"/>
    <x v="1"/>
    <x v="12"/>
    <x v="0"/>
    <n v="17340"/>
  </r>
  <r>
    <s v="CSKU75774_2PR"/>
    <x v="0"/>
    <x v="1"/>
    <x v="1"/>
    <x v="5"/>
    <x v="0"/>
    <x v="0"/>
    <x v="241"/>
    <x v="1"/>
    <x v="12"/>
    <x v="0"/>
    <n v="16410"/>
  </r>
  <r>
    <s v="CSKU75775_2PR"/>
    <x v="0"/>
    <x v="1"/>
    <x v="1"/>
    <x v="4"/>
    <x v="0"/>
    <x v="0"/>
    <x v="241"/>
    <x v="1"/>
    <x v="12"/>
    <x v="0"/>
    <n v="19640"/>
  </r>
  <r>
    <s v="CSKU75843_3PR"/>
    <x v="0"/>
    <x v="0"/>
    <x v="1"/>
    <x v="6"/>
    <x v="0"/>
    <x v="0"/>
    <x v="234"/>
    <x v="1"/>
    <x v="10"/>
    <x v="0"/>
    <n v="24710"/>
  </r>
  <r>
    <s v="CSKU75665_2PR"/>
    <x v="0"/>
    <x v="1"/>
    <x v="0"/>
    <x v="1"/>
    <x v="0"/>
    <x v="0"/>
    <x v="242"/>
    <x v="0"/>
    <x v="12"/>
    <x v="0"/>
    <n v="15480"/>
  </r>
  <r>
    <s v="CSKU75666_2PR"/>
    <x v="0"/>
    <x v="1"/>
    <x v="0"/>
    <x v="5"/>
    <x v="0"/>
    <x v="0"/>
    <x v="242"/>
    <x v="0"/>
    <x v="12"/>
    <x v="0"/>
    <n v="18380"/>
  </r>
  <r>
    <s v="CSKU75667_2PR"/>
    <x v="0"/>
    <x v="1"/>
    <x v="0"/>
    <x v="4"/>
    <x v="0"/>
    <x v="0"/>
    <x v="242"/>
    <x v="0"/>
    <x v="12"/>
    <x v="0"/>
    <n v="17530"/>
  </r>
  <r>
    <s v="CSKU75668_2PR"/>
    <x v="0"/>
    <x v="1"/>
    <x v="1"/>
    <x v="1"/>
    <x v="0"/>
    <x v="0"/>
    <x v="242"/>
    <x v="1"/>
    <x v="12"/>
    <x v="0"/>
    <n v="17340"/>
  </r>
  <r>
    <s v="CSKU75669_2PR"/>
    <x v="0"/>
    <x v="1"/>
    <x v="1"/>
    <x v="5"/>
    <x v="0"/>
    <x v="0"/>
    <x v="242"/>
    <x v="1"/>
    <x v="12"/>
    <x v="0"/>
    <n v="16410"/>
  </r>
  <r>
    <s v="CSKU75791_2PR"/>
    <x v="0"/>
    <x v="1"/>
    <x v="0"/>
    <x v="1"/>
    <x v="0"/>
    <x v="0"/>
    <x v="243"/>
    <x v="0"/>
    <x v="12"/>
    <x v="0"/>
    <n v="15480"/>
  </r>
  <r>
    <s v="CSKU75792_2PR"/>
    <x v="0"/>
    <x v="1"/>
    <x v="0"/>
    <x v="5"/>
    <x v="0"/>
    <x v="0"/>
    <x v="243"/>
    <x v="0"/>
    <x v="12"/>
    <x v="0"/>
    <n v="18380"/>
  </r>
  <r>
    <s v="CSKU75793_2PR"/>
    <x v="0"/>
    <x v="1"/>
    <x v="0"/>
    <x v="4"/>
    <x v="0"/>
    <x v="0"/>
    <x v="243"/>
    <x v="0"/>
    <x v="12"/>
    <x v="0"/>
    <n v="17530"/>
  </r>
  <r>
    <s v="CSKU75794_2PR"/>
    <x v="0"/>
    <x v="1"/>
    <x v="1"/>
    <x v="1"/>
    <x v="0"/>
    <x v="0"/>
    <x v="243"/>
    <x v="1"/>
    <x v="12"/>
    <x v="0"/>
    <n v="17340"/>
  </r>
  <r>
    <s v="CSKU75795_2PR"/>
    <x v="0"/>
    <x v="1"/>
    <x v="1"/>
    <x v="5"/>
    <x v="0"/>
    <x v="0"/>
    <x v="243"/>
    <x v="1"/>
    <x v="12"/>
    <x v="0"/>
    <n v="16410"/>
  </r>
  <r>
    <s v="CSKU75796_2PR"/>
    <x v="0"/>
    <x v="1"/>
    <x v="1"/>
    <x v="4"/>
    <x v="0"/>
    <x v="0"/>
    <x v="243"/>
    <x v="1"/>
    <x v="12"/>
    <x v="0"/>
    <n v="19640"/>
  </r>
  <r>
    <s v="CSKU75826_3PR"/>
    <x v="0"/>
    <x v="0"/>
    <x v="0"/>
    <x v="0"/>
    <x v="0"/>
    <x v="0"/>
    <x v="244"/>
    <x v="0"/>
    <x v="10"/>
    <x v="0"/>
    <n v="19300"/>
  </r>
  <r>
    <s v="CSKU75827_3PR"/>
    <x v="0"/>
    <x v="0"/>
    <x v="0"/>
    <x v="6"/>
    <x v="0"/>
    <x v="0"/>
    <x v="244"/>
    <x v="0"/>
    <x v="10"/>
    <x v="0"/>
    <n v="22060"/>
  </r>
  <r>
    <s v="CSKU75828_3PR"/>
    <x v="0"/>
    <x v="0"/>
    <x v="1"/>
    <x v="0"/>
    <x v="0"/>
    <x v="0"/>
    <x v="244"/>
    <x v="1"/>
    <x v="10"/>
    <x v="0"/>
    <n v="21620"/>
  </r>
  <r>
    <s v="CSKU75829_3PR"/>
    <x v="0"/>
    <x v="0"/>
    <x v="1"/>
    <x v="6"/>
    <x v="0"/>
    <x v="0"/>
    <x v="244"/>
    <x v="1"/>
    <x v="10"/>
    <x v="0"/>
    <n v="24710"/>
  </r>
  <r>
    <s v="CSKU76025_3SPR"/>
    <x v="4"/>
    <x v="0"/>
    <x v="0"/>
    <x v="2"/>
    <x v="0"/>
    <x v="0"/>
    <x v="245"/>
    <x v="0"/>
    <x v="15"/>
    <x v="0"/>
    <n v="27550"/>
  </r>
  <r>
    <s v="CSKU75882_3PR"/>
    <x v="0"/>
    <x v="0"/>
    <x v="0"/>
    <x v="0"/>
    <x v="0"/>
    <x v="0"/>
    <x v="246"/>
    <x v="0"/>
    <x v="10"/>
    <x v="0"/>
    <n v="19300"/>
  </r>
  <r>
    <s v="CSKU75883_3PR"/>
    <x v="0"/>
    <x v="0"/>
    <x v="0"/>
    <x v="6"/>
    <x v="0"/>
    <x v="0"/>
    <x v="246"/>
    <x v="0"/>
    <x v="10"/>
    <x v="0"/>
    <n v="22060"/>
  </r>
  <r>
    <s v="CSKU75884_3PR"/>
    <x v="0"/>
    <x v="0"/>
    <x v="1"/>
    <x v="0"/>
    <x v="0"/>
    <x v="0"/>
    <x v="246"/>
    <x v="1"/>
    <x v="10"/>
    <x v="0"/>
    <n v="21620"/>
  </r>
  <r>
    <s v="CSKU75885_3PR"/>
    <x v="0"/>
    <x v="0"/>
    <x v="1"/>
    <x v="6"/>
    <x v="0"/>
    <x v="0"/>
    <x v="246"/>
    <x v="1"/>
    <x v="10"/>
    <x v="0"/>
    <n v="24710"/>
  </r>
  <r>
    <s v="CSKU75924_3PR"/>
    <x v="0"/>
    <x v="0"/>
    <x v="0"/>
    <x v="0"/>
    <x v="0"/>
    <x v="0"/>
    <x v="247"/>
    <x v="0"/>
    <x v="10"/>
    <x v="0"/>
    <n v="19300"/>
  </r>
  <r>
    <s v="CSKU75925_3PR"/>
    <x v="0"/>
    <x v="0"/>
    <x v="0"/>
    <x v="6"/>
    <x v="0"/>
    <x v="0"/>
    <x v="247"/>
    <x v="0"/>
    <x v="10"/>
    <x v="0"/>
    <n v="22060"/>
  </r>
  <r>
    <s v="CSKU75926_3PR"/>
    <x v="0"/>
    <x v="0"/>
    <x v="1"/>
    <x v="0"/>
    <x v="0"/>
    <x v="0"/>
    <x v="247"/>
    <x v="1"/>
    <x v="10"/>
    <x v="0"/>
    <n v="21620"/>
  </r>
  <r>
    <s v="CSKU75927_3PR"/>
    <x v="0"/>
    <x v="0"/>
    <x v="1"/>
    <x v="6"/>
    <x v="0"/>
    <x v="0"/>
    <x v="247"/>
    <x v="1"/>
    <x v="10"/>
    <x v="0"/>
    <n v="24710"/>
  </r>
  <r>
    <s v="CSKU75857_3PR"/>
    <x v="0"/>
    <x v="0"/>
    <x v="1"/>
    <x v="6"/>
    <x v="0"/>
    <x v="0"/>
    <x v="248"/>
    <x v="1"/>
    <x v="10"/>
    <x v="0"/>
    <n v="24710"/>
  </r>
  <r>
    <s v="CSKU76026_3SPR"/>
    <x v="4"/>
    <x v="0"/>
    <x v="1"/>
    <x v="2"/>
    <x v="0"/>
    <x v="0"/>
    <x v="245"/>
    <x v="1"/>
    <x v="15"/>
    <x v="0"/>
    <n v="30480"/>
  </r>
  <r>
    <s v="CSKU75896_3PR"/>
    <x v="0"/>
    <x v="0"/>
    <x v="0"/>
    <x v="0"/>
    <x v="0"/>
    <x v="0"/>
    <x v="249"/>
    <x v="0"/>
    <x v="10"/>
    <x v="0"/>
    <n v="19300"/>
  </r>
  <r>
    <s v="CSKU75897_3PR"/>
    <x v="0"/>
    <x v="0"/>
    <x v="0"/>
    <x v="6"/>
    <x v="0"/>
    <x v="0"/>
    <x v="249"/>
    <x v="0"/>
    <x v="10"/>
    <x v="0"/>
    <n v="22060"/>
  </r>
  <r>
    <s v="CSKU75938_3PR"/>
    <x v="0"/>
    <x v="0"/>
    <x v="0"/>
    <x v="0"/>
    <x v="0"/>
    <x v="0"/>
    <x v="250"/>
    <x v="0"/>
    <x v="10"/>
    <x v="0"/>
    <n v="19300"/>
  </r>
  <r>
    <s v="CSKU75939_3PR"/>
    <x v="0"/>
    <x v="0"/>
    <x v="0"/>
    <x v="6"/>
    <x v="0"/>
    <x v="0"/>
    <x v="250"/>
    <x v="0"/>
    <x v="10"/>
    <x v="0"/>
    <n v="22060"/>
  </r>
  <r>
    <s v="CSKU75940_3PR"/>
    <x v="0"/>
    <x v="0"/>
    <x v="1"/>
    <x v="0"/>
    <x v="0"/>
    <x v="0"/>
    <x v="250"/>
    <x v="1"/>
    <x v="10"/>
    <x v="0"/>
    <n v="21620"/>
  </r>
  <r>
    <s v="CSKU75941_3PR"/>
    <x v="0"/>
    <x v="0"/>
    <x v="1"/>
    <x v="6"/>
    <x v="0"/>
    <x v="0"/>
    <x v="250"/>
    <x v="1"/>
    <x v="10"/>
    <x v="0"/>
    <n v="24710"/>
  </r>
  <r>
    <s v="CSKU75985_3SPR"/>
    <x v="4"/>
    <x v="0"/>
    <x v="0"/>
    <x v="2"/>
    <x v="0"/>
    <x v="0"/>
    <x v="251"/>
    <x v="0"/>
    <x v="15"/>
    <x v="0"/>
    <n v="27550"/>
  </r>
  <r>
    <s v="CSKU75986_3SPR"/>
    <x v="4"/>
    <x v="0"/>
    <x v="1"/>
    <x v="2"/>
    <x v="0"/>
    <x v="0"/>
    <x v="251"/>
    <x v="1"/>
    <x v="15"/>
    <x v="0"/>
    <n v="30480"/>
  </r>
  <r>
    <s v="CSKU75990_3SPR"/>
    <x v="4"/>
    <x v="0"/>
    <x v="0"/>
    <x v="2"/>
    <x v="0"/>
    <x v="0"/>
    <x v="252"/>
    <x v="0"/>
    <x v="15"/>
    <x v="0"/>
    <n v="27550"/>
  </r>
  <r>
    <s v="CSKU75991_3SPR"/>
    <x v="4"/>
    <x v="0"/>
    <x v="1"/>
    <x v="2"/>
    <x v="0"/>
    <x v="0"/>
    <x v="252"/>
    <x v="1"/>
    <x v="15"/>
    <x v="0"/>
    <n v="30480"/>
  </r>
  <r>
    <s v="CSKU75995_3SPR"/>
    <x v="4"/>
    <x v="0"/>
    <x v="0"/>
    <x v="2"/>
    <x v="0"/>
    <x v="0"/>
    <x v="253"/>
    <x v="0"/>
    <x v="15"/>
    <x v="0"/>
    <n v="27550"/>
  </r>
  <r>
    <s v="CSKU75996_3SPR"/>
    <x v="4"/>
    <x v="0"/>
    <x v="1"/>
    <x v="2"/>
    <x v="0"/>
    <x v="0"/>
    <x v="253"/>
    <x v="1"/>
    <x v="15"/>
    <x v="0"/>
    <n v="30480"/>
  </r>
  <r>
    <s v="CSKU75952_3PR"/>
    <x v="0"/>
    <x v="0"/>
    <x v="0"/>
    <x v="0"/>
    <x v="0"/>
    <x v="0"/>
    <x v="232"/>
    <x v="0"/>
    <x v="10"/>
    <x v="0"/>
    <n v="19300"/>
  </r>
  <r>
    <s v="CSKU75603_2PR"/>
    <x v="0"/>
    <x v="1"/>
    <x v="0"/>
    <x v="5"/>
    <x v="0"/>
    <x v="0"/>
    <x v="254"/>
    <x v="0"/>
    <x v="12"/>
    <x v="0"/>
    <n v="18380"/>
  </r>
  <r>
    <s v="CSKU75604_2PR"/>
    <x v="0"/>
    <x v="1"/>
    <x v="0"/>
    <x v="4"/>
    <x v="0"/>
    <x v="0"/>
    <x v="254"/>
    <x v="0"/>
    <x v="12"/>
    <x v="0"/>
    <n v="17530"/>
  </r>
  <r>
    <s v="CSKU75605_2PR"/>
    <x v="0"/>
    <x v="1"/>
    <x v="1"/>
    <x v="1"/>
    <x v="0"/>
    <x v="0"/>
    <x v="254"/>
    <x v="1"/>
    <x v="12"/>
    <x v="0"/>
    <n v="17340"/>
  </r>
  <r>
    <s v="CSKU75606_2PR"/>
    <x v="0"/>
    <x v="1"/>
    <x v="1"/>
    <x v="5"/>
    <x v="0"/>
    <x v="0"/>
    <x v="254"/>
    <x v="1"/>
    <x v="12"/>
    <x v="0"/>
    <n v="16410"/>
  </r>
  <r>
    <s v="CSKU75607_2PR"/>
    <x v="0"/>
    <x v="1"/>
    <x v="1"/>
    <x v="4"/>
    <x v="0"/>
    <x v="0"/>
    <x v="254"/>
    <x v="1"/>
    <x v="12"/>
    <x v="0"/>
    <n v="19640"/>
  </r>
  <r>
    <s v="CSKU75670_2PR"/>
    <x v="0"/>
    <x v="1"/>
    <x v="1"/>
    <x v="4"/>
    <x v="0"/>
    <x v="0"/>
    <x v="242"/>
    <x v="1"/>
    <x v="12"/>
    <x v="0"/>
    <n v="19640"/>
  </r>
  <r>
    <s v="CSKU19875_3SPR"/>
    <x v="4"/>
    <x v="0"/>
    <x v="1"/>
    <x v="2"/>
    <x v="0"/>
    <x v="0"/>
    <x v="255"/>
    <x v="1"/>
    <x v="15"/>
    <x v="0"/>
    <n v="43200"/>
  </r>
  <r>
    <s v="CSKU75416_2EK"/>
    <x v="1"/>
    <x v="1"/>
    <x v="0"/>
    <x v="0"/>
    <x v="4"/>
    <x v="1"/>
    <x v="226"/>
    <x v="0"/>
    <x v="8"/>
    <x v="0"/>
    <n v="25020"/>
  </r>
  <r>
    <s v="CSKU75417_2EK"/>
    <x v="1"/>
    <x v="1"/>
    <x v="0"/>
    <x v="0"/>
    <x v="1"/>
    <x v="6"/>
    <x v="226"/>
    <x v="0"/>
    <x v="7"/>
    <x v="0"/>
    <n v="23430"/>
  </r>
  <r>
    <s v="CSKU75418_2EK"/>
    <x v="1"/>
    <x v="1"/>
    <x v="0"/>
    <x v="0"/>
    <x v="1"/>
    <x v="1"/>
    <x v="226"/>
    <x v="0"/>
    <x v="8"/>
    <x v="0"/>
    <n v="27200"/>
  </r>
  <r>
    <s v="CSKU75419_2EK"/>
    <x v="1"/>
    <x v="1"/>
    <x v="1"/>
    <x v="0"/>
    <x v="4"/>
    <x v="6"/>
    <x v="226"/>
    <x v="1"/>
    <x v="7"/>
    <x v="0"/>
    <n v="24100"/>
  </r>
  <r>
    <s v="CSKU75420_2EK"/>
    <x v="1"/>
    <x v="1"/>
    <x v="1"/>
    <x v="0"/>
    <x v="4"/>
    <x v="1"/>
    <x v="226"/>
    <x v="1"/>
    <x v="8"/>
    <x v="0"/>
    <n v="27300"/>
  </r>
  <r>
    <s v="CSKU75421_2EK"/>
    <x v="1"/>
    <x v="1"/>
    <x v="1"/>
    <x v="0"/>
    <x v="1"/>
    <x v="6"/>
    <x v="226"/>
    <x v="1"/>
    <x v="7"/>
    <x v="0"/>
    <n v="25450"/>
  </r>
  <r>
    <s v="CSKU75422_2EK"/>
    <x v="1"/>
    <x v="1"/>
    <x v="1"/>
    <x v="0"/>
    <x v="1"/>
    <x v="1"/>
    <x v="226"/>
    <x v="1"/>
    <x v="8"/>
    <x v="0"/>
    <n v="29660"/>
  </r>
  <r>
    <s v="CSKU75623_2PR"/>
    <x v="0"/>
    <x v="1"/>
    <x v="0"/>
    <x v="1"/>
    <x v="0"/>
    <x v="0"/>
    <x v="256"/>
    <x v="0"/>
    <x v="12"/>
    <x v="0"/>
    <n v="15480"/>
  </r>
  <r>
    <s v="CSKU75624_2PR"/>
    <x v="0"/>
    <x v="1"/>
    <x v="0"/>
    <x v="5"/>
    <x v="0"/>
    <x v="0"/>
    <x v="256"/>
    <x v="0"/>
    <x v="12"/>
    <x v="0"/>
    <n v="18380"/>
  </r>
  <r>
    <s v="CSKU75625_2PR"/>
    <x v="0"/>
    <x v="1"/>
    <x v="0"/>
    <x v="4"/>
    <x v="0"/>
    <x v="0"/>
    <x v="256"/>
    <x v="0"/>
    <x v="12"/>
    <x v="0"/>
    <n v="17530"/>
  </r>
  <r>
    <s v="CSKU75626_2PR"/>
    <x v="0"/>
    <x v="1"/>
    <x v="1"/>
    <x v="1"/>
    <x v="0"/>
    <x v="0"/>
    <x v="256"/>
    <x v="1"/>
    <x v="12"/>
    <x v="0"/>
    <n v="17340"/>
  </r>
  <r>
    <s v="CSKU75627_2PR"/>
    <x v="0"/>
    <x v="1"/>
    <x v="1"/>
    <x v="5"/>
    <x v="0"/>
    <x v="0"/>
    <x v="256"/>
    <x v="1"/>
    <x v="12"/>
    <x v="0"/>
    <n v="16410"/>
  </r>
  <r>
    <s v="CSKU75628_2PR"/>
    <x v="0"/>
    <x v="1"/>
    <x v="1"/>
    <x v="4"/>
    <x v="0"/>
    <x v="0"/>
    <x v="256"/>
    <x v="1"/>
    <x v="12"/>
    <x v="0"/>
    <n v="19640"/>
  </r>
  <r>
    <s v="CSKU75854_3PR"/>
    <x v="0"/>
    <x v="0"/>
    <x v="0"/>
    <x v="0"/>
    <x v="0"/>
    <x v="0"/>
    <x v="248"/>
    <x v="0"/>
    <x v="10"/>
    <x v="0"/>
    <n v="19300"/>
  </r>
  <r>
    <s v="CSKU75898_3PR"/>
    <x v="0"/>
    <x v="0"/>
    <x v="1"/>
    <x v="0"/>
    <x v="0"/>
    <x v="0"/>
    <x v="249"/>
    <x v="1"/>
    <x v="10"/>
    <x v="0"/>
    <n v="21620"/>
  </r>
  <r>
    <s v="CSKU75953_3PR"/>
    <x v="0"/>
    <x v="0"/>
    <x v="0"/>
    <x v="6"/>
    <x v="0"/>
    <x v="0"/>
    <x v="232"/>
    <x v="0"/>
    <x v="10"/>
    <x v="0"/>
    <n v="22060"/>
  </r>
  <r>
    <s v="CSKU75707_2PR"/>
    <x v="0"/>
    <x v="1"/>
    <x v="0"/>
    <x v="1"/>
    <x v="0"/>
    <x v="0"/>
    <x v="257"/>
    <x v="0"/>
    <x v="12"/>
    <x v="0"/>
    <n v="15480"/>
  </r>
  <r>
    <s v="CSKU75708_2PR"/>
    <x v="0"/>
    <x v="1"/>
    <x v="0"/>
    <x v="5"/>
    <x v="0"/>
    <x v="0"/>
    <x v="257"/>
    <x v="0"/>
    <x v="12"/>
    <x v="0"/>
    <n v="18380"/>
  </r>
  <r>
    <s v="CSKU75709_2PR"/>
    <x v="0"/>
    <x v="1"/>
    <x v="0"/>
    <x v="4"/>
    <x v="0"/>
    <x v="0"/>
    <x v="257"/>
    <x v="0"/>
    <x v="12"/>
    <x v="0"/>
    <n v="17530"/>
  </r>
  <r>
    <s v="CSKU75710_2PR"/>
    <x v="0"/>
    <x v="1"/>
    <x v="1"/>
    <x v="1"/>
    <x v="0"/>
    <x v="0"/>
    <x v="257"/>
    <x v="1"/>
    <x v="12"/>
    <x v="0"/>
    <n v="17340"/>
  </r>
  <r>
    <s v="CSKU75711_2PR"/>
    <x v="0"/>
    <x v="1"/>
    <x v="1"/>
    <x v="5"/>
    <x v="0"/>
    <x v="0"/>
    <x v="257"/>
    <x v="1"/>
    <x v="12"/>
    <x v="0"/>
    <n v="16410"/>
  </r>
  <r>
    <s v="CSKU75712_2PR"/>
    <x v="0"/>
    <x v="1"/>
    <x v="1"/>
    <x v="4"/>
    <x v="0"/>
    <x v="0"/>
    <x v="257"/>
    <x v="1"/>
    <x v="12"/>
    <x v="0"/>
    <n v="19640"/>
  </r>
  <r>
    <s v="CSKU75686_2PR"/>
    <x v="0"/>
    <x v="1"/>
    <x v="0"/>
    <x v="1"/>
    <x v="0"/>
    <x v="0"/>
    <x v="258"/>
    <x v="0"/>
    <x v="12"/>
    <x v="0"/>
    <n v="15480"/>
  </r>
  <r>
    <s v="CSKU75687_2PR"/>
    <x v="0"/>
    <x v="1"/>
    <x v="0"/>
    <x v="5"/>
    <x v="0"/>
    <x v="0"/>
    <x v="258"/>
    <x v="0"/>
    <x v="12"/>
    <x v="0"/>
    <n v="18380"/>
  </r>
  <r>
    <s v="CSKU75688_2PR"/>
    <x v="0"/>
    <x v="1"/>
    <x v="0"/>
    <x v="4"/>
    <x v="0"/>
    <x v="0"/>
    <x v="258"/>
    <x v="0"/>
    <x v="12"/>
    <x v="0"/>
    <n v="17530"/>
  </r>
  <r>
    <s v="CSKU75689_2PR"/>
    <x v="0"/>
    <x v="1"/>
    <x v="1"/>
    <x v="1"/>
    <x v="0"/>
    <x v="0"/>
    <x v="258"/>
    <x v="1"/>
    <x v="12"/>
    <x v="0"/>
    <n v="17340"/>
  </r>
  <r>
    <s v="CSKU75690_2PR"/>
    <x v="0"/>
    <x v="1"/>
    <x v="1"/>
    <x v="5"/>
    <x v="0"/>
    <x v="0"/>
    <x v="258"/>
    <x v="1"/>
    <x v="12"/>
    <x v="0"/>
    <n v="16410"/>
  </r>
  <r>
    <s v="CSKU75691_2PR"/>
    <x v="0"/>
    <x v="1"/>
    <x v="1"/>
    <x v="4"/>
    <x v="0"/>
    <x v="0"/>
    <x v="258"/>
    <x v="1"/>
    <x v="12"/>
    <x v="0"/>
    <n v="19640"/>
  </r>
  <r>
    <s v="CSKU75899_3PR"/>
    <x v="0"/>
    <x v="0"/>
    <x v="1"/>
    <x v="6"/>
    <x v="0"/>
    <x v="0"/>
    <x v="249"/>
    <x v="1"/>
    <x v="10"/>
    <x v="0"/>
    <n v="24710"/>
  </r>
  <r>
    <s v="CSKU75728_2PR"/>
    <x v="0"/>
    <x v="1"/>
    <x v="0"/>
    <x v="1"/>
    <x v="0"/>
    <x v="0"/>
    <x v="259"/>
    <x v="0"/>
    <x v="12"/>
    <x v="0"/>
    <n v="15480"/>
  </r>
  <r>
    <s v="CSKU75749_2PR"/>
    <x v="0"/>
    <x v="1"/>
    <x v="0"/>
    <x v="1"/>
    <x v="0"/>
    <x v="0"/>
    <x v="260"/>
    <x v="0"/>
    <x v="12"/>
    <x v="0"/>
    <n v="15480"/>
  </r>
  <r>
    <s v="CSKU75750_2PR"/>
    <x v="0"/>
    <x v="1"/>
    <x v="0"/>
    <x v="5"/>
    <x v="0"/>
    <x v="0"/>
    <x v="260"/>
    <x v="0"/>
    <x v="12"/>
    <x v="0"/>
    <n v="18380"/>
  </r>
  <r>
    <s v="CSKU75751_2PR"/>
    <x v="0"/>
    <x v="1"/>
    <x v="0"/>
    <x v="4"/>
    <x v="0"/>
    <x v="0"/>
    <x v="260"/>
    <x v="0"/>
    <x v="12"/>
    <x v="0"/>
    <n v="17530"/>
  </r>
  <r>
    <s v="CSKU75752_2PR"/>
    <x v="0"/>
    <x v="1"/>
    <x v="1"/>
    <x v="1"/>
    <x v="0"/>
    <x v="0"/>
    <x v="260"/>
    <x v="1"/>
    <x v="12"/>
    <x v="0"/>
    <n v="17340"/>
  </r>
  <r>
    <s v="CSKU75753_2PR"/>
    <x v="0"/>
    <x v="1"/>
    <x v="1"/>
    <x v="5"/>
    <x v="0"/>
    <x v="0"/>
    <x v="260"/>
    <x v="1"/>
    <x v="12"/>
    <x v="0"/>
    <n v="16410"/>
  </r>
  <r>
    <s v="CSKU75754_2PR"/>
    <x v="0"/>
    <x v="1"/>
    <x v="1"/>
    <x v="4"/>
    <x v="0"/>
    <x v="0"/>
    <x v="260"/>
    <x v="1"/>
    <x v="12"/>
    <x v="0"/>
    <n v="19640"/>
  </r>
  <r>
    <s v="CSKU75812_3PR"/>
    <x v="0"/>
    <x v="0"/>
    <x v="0"/>
    <x v="0"/>
    <x v="0"/>
    <x v="0"/>
    <x v="261"/>
    <x v="0"/>
    <x v="10"/>
    <x v="0"/>
    <n v="19300"/>
  </r>
  <r>
    <s v="CSKU75729_2PR"/>
    <x v="0"/>
    <x v="1"/>
    <x v="0"/>
    <x v="5"/>
    <x v="0"/>
    <x v="0"/>
    <x v="259"/>
    <x v="0"/>
    <x v="12"/>
    <x v="0"/>
    <n v="18380"/>
  </r>
  <r>
    <s v="CSKU75730_2PR"/>
    <x v="0"/>
    <x v="1"/>
    <x v="0"/>
    <x v="4"/>
    <x v="0"/>
    <x v="0"/>
    <x v="259"/>
    <x v="0"/>
    <x v="12"/>
    <x v="0"/>
    <n v="17530"/>
  </r>
  <r>
    <s v="CSKU75731_2PR"/>
    <x v="0"/>
    <x v="1"/>
    <x v="1"/>
    <x v="1"/>
    <x v="0"/>
    <x v="0"/>
    <x v="259"/>
    <x v="1"/>
    <x v="12"/>
    <x v="0"/>
    <n v="17340"/>
  </r>
  <r>
    <s v="CSKU75732_2PR"/>
    <x v="0"/>
    <x v="1"/>
    <x v="1"/>
    <x v="5"/>
    <x v="0"/>
    <x v="0"/>
    <x v="259"/>
    <x v="1"/>
    <x v="12"/>
    <x v="0"/>
    <n v="16410"/>
  </r>
  <r>
    <s v="CSKU75733_2PR"/>
    <x v="0"/>
    <x v="1"/>
    <x v="1"/>
    <x v="4"/>
    <x v="0"/>
    <x v="0"/>
    <x v="259"/>
    <x v="1"/>
    <x v="12"/>
    <x v="0"/>
    <n v="19640"/>
  </r>
  <r>
    <s v="CSKU75813_3PR"/>
    <x v="0"/>
    <x v="0"/>
    <x v="0"/>
    <x v="6"/>
    <x v="0"/>
    <x v="0"/>
    <x v="261"/>
    <x v="0"/>
    <x v="10"/>
    <x v="0"/>
    <n v="22060"/>
  </r>
  <r>
    <s v="CSKU75855_3PR"/>
    <x v="0"/>
    <x v="0"/>
    <x v="0"/>
    <x v="6"/>
    <x v="0"/>
    <x v="0"/>
    <x v="248"/>
    <x v="0"/>
    <x v="10"/>
    <x v="0"/>
    <n v="22060"/>
  </r>
  <r>
    <s v="CSKU75856_3PR"/>
    <x v="0"/>
    <x v="0"/>
    <x v="1"/>
    <x v="0"/>
    <x v="0"/>
    <x v="0"/>
    <x v="248"/>
    <x v="1"/>
    <x v="10"/>
    <x v="0"/>
    <n v="21620"/>
  </r>
  <r>
    <s v="CSKU75770_2PR"/>
    <x v="0"/>
    <x v="1"/>
    <x v="0"/>
    <x v="1"/>
    <x v="0"/>
    <x v="0"/>
    <x v="241"/>
    <x v="0"/>
    <x v="12"/>
    <x v="0"/>
    <n v="15480"/>
  </r>
  <r>
    <s v="CSKU19718_3SPR"/>
    <x v="4"/>
    <x v="0"/>
    <x v="1"/>
    <x v="2"/>
    <x v="0"/>
    <x v="0"/>
    <x v="224"/>
    <x v="1"/>
    <x v="15"/>
    <x v="0"/>
    <n v="52690"/>
  </r>
  <r>
    <s v="CSKU19721_3SPR"/>
    <x v="4"/>
    <x v="0"/>
    <x v="0"/>
    <x v="2"/>
    <x v="0"/>
    <x v="0"/>
    <x v="262"/>
    <x v="0"/>
    <x v="15"/>
    <x v="0"/>
    <n v="46930"/>
  </r>
  <r>
    <s v="CSKU19722_3SPR"/>
    <x v="4"/>
    <x v="0"/>
    <x v="1"/>
    <x v="2"/>
    <x v="0"/>
    <x v="0"/>
    <x v="262"/>
    <x v="1"/>
    <x v="15"/>
    <x v="0"/>
    <n v="50290"/>
  </r>
  <r>
    <s v="CSKU19725_3SPR"/>
    <x v="4"/>
    <x v="0"/>
    <x v="0"/>
    <x v="2"/>
    <x v="0"/>
    <x v="0"/>
    <x v="263"/>
    <x v="0"/>
    <x v="15"/>
    <x v="0"/>
    <n v="51310"/>
  </r>
  <r>
    <s v="CSKU19726_3SPR"/>
    <x v="4"/>
    <x v="0"/>
    <x v="1"/>
    <x v="2"/>
    <x v="0"/>
    <x v="0"/>
    <x v="263"/>
    <x v="1"/>
    <x v="15"/>
    <x v="0"/>
    <n v="54240"/>
  </r>
  <r>
    <s v="CSKU19661_3PR"/>
    <x v="0"/>
    <x v="0"/>
    <x v="0"/>
    <x v="0"/>
    <x v="0"/>
    <x v="0"/>
    <x v="264"/>
    <x v="0"/>
    <x v="10"/>
    <x v="0"/>
    <n v="40900"/>
  </r>
  <r>
    <s v="CSKU19662_3PR"/>
    <x v="0"/>
    <x v="0"/>
    <x v="0"/>
    <x v="6"/>
    <x v="0"/>
    <x v="0"/>
    <x v="264"/>
    <x v="0"/>
    <x v="10"/>
    <x v="0"/>
    <n v="45220"/>
  </r>
  <r>
    <s v="CSKU19663_3PR"/>
    <x v="0"/>
    <x v="0"/>
    <x v="1"/>
    <x v="0"/>
    <x v="0"/>
    <x v="0"/>
    <x v="264"/>
    <x v="1"/>
    <x v="10"/>
    <x v="0"/>
    <n v="43220"/>
  </r>
  <r>
    <s v="CSKU19664_3PR"/>
    <x v="0"/>
    <x v="0"/>
    <x v="1"/>
    <x v="6"/>
    <x v="0"/>
    <x v="0"/>
    <x v="264"/>
    <x v="1"/>
    <x v="10"/>
    <x v="0"/>
    <n v="47870"/>
  </r>
  <r>
    <s v="CSKU75814_3PR"/>
    <x v="0"/>
    <x v="0"/>
    <x v="1"/>
    <x v="0"/>
    <x v="0"/>
    <x v="0"/>
    <x v="261"/>
    <x v="1"/>
    <x v="10"/>
    <x v="0"/>
    <n v="21620"/>
  </r>
  <r>
    <s v="CSKU75815_3PR"/>
    <x v="0"/>
    <x v="0"/>
    <x v="1"/>
    <x v="6"/>
    <x v="0"/>
    <x v="0"/>
    <x v="261"/>
    <x v="1"/>
    <x v="10"/>
    <x v="0"/>
    <n v="24710"/>
  </r>
  <r>
    <s v="CSKU19871_3SPR"/>
    <x v="4"/>
    <x v="0"/>
    <x v="0"/>
    <x v="2"/>
    <x v="0"/>
    <x v="0"/>
    <x v="255"/>
    <x v="0"/>
    <x v="15"/>
    <x v="0"/>
    <n v="38890"/>
  </r>
  <r>
    <s v="CSKU19795_3PR"/>
    <x v="0"/>
    <x v="0"/>
    <x v="1"/>
    <x v="0"/>
    <x v="0"/>
    <x v="0"/>
    <x v="225"/>
    <x v="1"/>
    <x v="10"/>
    <x v="0"/>
    <n v="40120"/>
  </r>
  <r>
    <s v="CSKU19796_3PR"/>
    <x v="0"/>
    <x v="0"/>
    <x v="1"/>
    <x v="6"/>
    <x v="0"/>
    <x v="0"/>
    <x v="225"/>
    <x v="1"/>
    <x v="10"/>
    <x v="0"/>
    <n v="44470"/>
  </r>
  <r>
    <s v="CSKU19805_2PR"/>
    <x v="0"/>
    <x v="1"/>
    <x v="0"/>
    <x v="4"/>
    <x v="0"/>
    <x v="0"/>
    <x v="265"/>
    <x v="0"/>
    <x v="12"/>
    <x v="0"/>
    <n v="25090"/>
  </r>
  <r>
    <s v="CSKU19839_2SPR"/>
    <x v="4"/>
    <x v="1"/>
    <x v="1"/>
    <x v="3"/>
    <x v="0"/>
    <x v="0"/>
    <x v="266"/>
    <x v="1"/>
    <x v="16"/>
    <x v="0"/>
    <n v="41700"/>
  </r>
  <r>
    <s v="CSKU75390_2EKSH"/>
    <x v="1"/>
    <x v="1"/>
    <x v="0"/>
    <x v="1"/>
    <x v="4"/>
    <x v="1"/>
    <x v="267"/>
    <x v="0"/>
    <x v="6"/>
    <x v="0"/>
    <n v="17040"/>
  </r>
  <r>
    <s v="CSKU75410_2EKSH"/>
    <x v="1"/>
    <x v="1"/>
    <x v="0"/>
    <x v="1"/>
    <x v="4"/>
    <x v="1"/>
    <x v="268"/>
    <x v="0"/>
    <x v="6"/>
    <x v="0"/>
    <n v="8880"/>
  </r>
  <r>
    <s v="CSKU75475_2EK"/>
    <x v="1"/>
    <x v="1"/>
    <x v="0"/>
    <x v="0"/>
    <x v="4"/>
    <x v="6"/>
    <x v="269"/>
    <x v="0"/>
    <x v="7"/>
    <x v="0"/>
    <n v="21180"/>
  </r>
  <r>
    <s v="CSKU75476_2EK"/>
    <x v="1"/>
    <x v="1"/>
    <x v="0"/>
    <x v="0"/>
    <x v="4"/>
    <x v="1"/>
    <x v="269"/>
    <x v="0"/>
    <x v="8"/>
    <x v="0"/>
    <n v="24050"/>
  </r>
  <r>
    <s v="CSKU75477_2EK"/>
    <x v="1"/>
    <x v="1"/>
    <x v="0"/>
    <x v="0"/>
    <x v="1"/>
    <x v="6"/>
    <x v="269"/>
    <x v="0"/>
    <x v="7"/>
    <x v="0"/>
    <n v="22470"/>
  </r>
  <r>
    <s v="CSKU75478_2EK"/>
    <x v="1"/>
    <x v="1"/>
    <x v="0"/>
    <x v="0"/>
    <x v="1"/>
    <x v="1"/>
    <x v="269"/>
    <x v="0"/>
    <x v="8"/>
    <x v="0"/>
    <n v="26240"/>
  </r>
  <r>
    <s v="CSKU75479_2EK"/>
    <x v="1"/>
    <x v="1"/>
    <x v="1"/>
    <x v="0"/>
    <x v="4"/>
    <x v="6"/>
    <x v="269"/>
    <x v="1"/>
    <x v="7"/>
    <x v="0"/>
    <n v="23760"/>
  </r>
  <r>
    <s v="CSKU75480_2EK"/>
    <x v="1"/>
    <x v="1"/>
    <x v="1"/>
    <x v="0"/>
    <x v="4"/>
    <x v="1"/>
    <x v="269"/>
    <x v="1"/>
    <x v="8"/>
    <x v="0"/>
    <n v="26960"/>
  </r>
  <r>
    <s v="CSKU75481_2EK"/>
    <x v="1"/>
    <x v="1"/>
    <x v="1"/>
    <x v="0"/>
    <x v="1"/>
    <x v="6"/>
    <x v="269"/>
    <x v="1"/>
    <x v="7"/>
    <x v="0"/>
    <n v="25160"/>
  </r>
  <r>
    <s v="CSKU75482_2EK"/>
    <x v="1"/>
    <x v="1"/>
    <x v="1"/>
    <x v="0"/>
    <x v="1"/>
    <x v="1"/>
    <x v="269"/>
    <x v="1"/>
    <x v="8"/>
    <x v="0"/>
    <n v="29370"/>
  </r>
  <r>
    <s v="CSKU75581_2PR"/>
    <x v="0"/>
    <x v="1"/>
    <x v="0"/>
    <x v="1"/>
    <x v="0"/>
    <x v="0"/>
    <x v="270"/>
    <x v="0"/>
    <x v="12"/>
    <x v="0"/>
    <n v="15480"/>
  </r>
  <r>
    <s v="CSKU75582_2PR"/>
    <x v="0"/>
    <x v="1"/>
    <x v="0"/>
    <x v="5"/>
    <x v="0"/>
    <x v="0"/>
    <x v="270"/>
    <x v="0"/>
    <x v="12"/>
    <x v="0"/>
    <n v="18380"/>
  </r>
  <r>
    <s v="CSKU75583_2PR"/>
    <x v="0"/>
    <x v="1"/>
    <x v="0"/>
    <x v="4"/>
    <x v="0"/>
    <x v="0"/>
    <x v="270"/>
    <x v="0"/>
    <x v="12"/>
    <x v="0"/>
    <n v="17530"/>
  </r>
  <r>
    <s v="CSKU75584_2PR"/>
    <x v="0"/>
    <x v="1"/>
    <x v="1"/>
    <x v="1"/>
    <x v="0"/>
    <x v="0"/>
    <x v="270"/>
    <x v="1"/>
    <x v="12"/>
    <x v="0"/>
    <n v="17340"/>
  </r>
  <r>
    <s v="CSKU75585_2PR"/>
    <x v="0"/>
    <x v="1"/>
    <x v="1"/>
    <x v="5"/>
    <x v="0"/>
    <x v="0"/>
    <x v="270"/>
    <x v="1"/>
    <x v="12"/>
    <x v="0"/>
    <n v="16410"/>
  </r>
  <r>
    <s v="CSKU75586_2PR"/>
    <x v="0"/>
    <x v="1"/>
    <x v="1"/>
    <x v="4"/>
    <x v="0"/>
    <x v="0"/>
    <x v="270"/>
    <x v="1"/>
    <x v="12"/>
    <x v="0"/>
    <n v="19640"/>
  </r>
  <r>
    <s v="CSKU75644_2PR"/>
    <x v="0"/>
    <x v="1"/>
    <x v="0"/>
    <x v="1"/>
    <x v="0"/>
    <x v="0"/>
    <x v="271"/>
    <x v="0"/>
    <x v="12"/>
    <x v="0"/>
    <n v="15480"/>
  </r>
  <r>
    <s v="CSKU75645_2PR"/>
    <x v="0"/>
    <x v="1"/>
    <x v="0"/>
    <x v="5"/>
    <x v="0"/>
    <x v="0"/>
    <x v="271"/>
    <x v="0"/>
    <x v="12"/>
    <x v="0"/>
    <n v="18380"/>
  </r>
  <r>
    <s v="CSKU75646_2PR"/>
    <x v="0"/>
    <x v="1"/>
    <x v="0"/>
    <x v="4"/>
    <x v="0"/>
    <x v="0"/>
    <x v="271"/>
    <x v="0"/>
    <x v="12"/>
    <x v="0"/>
    <n v="17530"/>
  </r>
  <r>
    <s v="CSKU75560_2PR"/>
    <x v="0"/>
    <x v="1"/>
    <x v="0"/>
    <x v="1"/>
    <x v="0"/>
    <x v="0"/>
    <x v="227"/>
    <x v="0"/>
    <x v="12"/>
    <x v="0"/>
    <n v="15480"/>
  </r>
  <r>
    <s v="CSKU75561_2PR"/>
    <x v="0"/>
    <x v="1"/>
    <x v="0"/>
    <x v="5"/>
    <x v="0"/>
    <x v="0"/>
    <x v="227"/>
    <x v="0"/>
    <x v="12"/>
    <x v="0"/>
    <n v="18380"/>
  </r>
  <r>
    <s v="CSKU75562_2PR"/>
    <x v="0"/>
    <x v="1"/>
    <x v="0"/>
    <x v="4"/>
    <x v="0"/>
    <x v="0"/>
    <x v="227"/>
    <x v="0"/>
    <x v="12"/>
    <x v="0"/>
    <n v="17530"/>
  </r>
  <r>
    <s v="CSKU75563_2PR"/>
    <x v="0"/>
    <x v="1"/>
    <x v="1"/>
    <x v="1"/>
    <x v="0"/>
    <x v="0"/>
    <x v="227"/>
    <x v="1"/>
    <x v="12"/>
    <x v="0"/>
    <n v="17340"/>
  </r>
  <r>
    <s v="CSKU75564_2PR"/>
    <x v="0"/>
    <x v="1"/>
    <x v="1"/>
    <x v="5"/>
    <x v="0"/>
    <x v="0"/>
    <x v="227"/>
    <x v="1"/>
    <x v="12"/>
    <x v="0"/>
    <n v="16410"/>
  </r>
  <r>
    <s v="CSKU75647_2PR"/>
    <x v="0"/>
    <x v="1"/>
    <x v="1"/>
    <x v="1"/>
    <x v="0"/>
    <x v="0"/>
    <x v="271"/>
    <x v="1"/>
    <x v="12"/>
    <x v="0"/>
    <n v="17340"/>
  </r>
  <r>
    <s v="CSKU75648_2PR"/>
    <x v="0"/>
    <x v="1"/>
    <x v="1"/>
    <x v="5"/>
    <x v="0"/>
    <x v="0"/>
    <x v="271"/>
    <x v="1"/>
    <x v="12"/>
    <x v="0"/>
    <n v="16410"/>
  </r>
  <r>
    <s v="CSKU75649_2PR"/>
    <x v="0"/>
    <x v="1"/>
    <x v="1"/>
    <x v="4"/>
    <x v="0"/>
    <x v="0"/>
    <x v="271"/>
    <x v="1"/>
    <x v="12"/>
    <x v="0"/>
    <n v="19640"/>
  </r>
  <r>
    <s v="CSKU19517_3PR"/>
    <x v="0"/>
    <x v="0"/>
    <x v="0"/>
    <x v="0"/>
    <x v="0"/>
    <x v="0"/>
    <x v="272"/>
    <x v="0"/>
    <x v="10"/>
    <x v="0"/>
    <n v="39350"/>
  </r>
  <r>
    <s v="CSKU19518_3PR"/>
    <x v="0"/>
    <x v="0"/>
    <x v="0"/>
    <x v="6"/>
    <x v="0"/>
    <x v="0"/>
    <x v="272"/>
    <x v="0"/>
    <x v="10"/>
    <x v="0"/>
    <n v="43520"/>
  </r>
  <r>
    <s v="CSKU19519_3PR"/>
    <x v="0"/>
    <x v="0"/>
    <x v="1"/>
    <x v="0"/>
    <x v="0"/>
    <x v="0"/>
    <x v="272"/>
    <x v="1"/>
    <x v="10"/>
    <x v="0"/>
    <n v="41670"/>
  </r>
  <r>
    <s v="CSKU19520_3PR"/>
    <x v="0"/>
    <x v="0"/>
    <x v="1"/>
    <x v="6"/>
    <x v="0"/>
    <x v="0"/>
    <x v="272"/>
    <x v="1"/>
    <x v="10"/>
    <x v="0"/>
    <n v="46170"/>
  </r>
  <r>
    <s v="CSKU19481_2PR"/>
    <x v="0"/>
    <x v="1"/>
    <x v="0"/>
    <x v="1"/>
    <x v="0"/>
    <x v="0"/>
    <x v="273"/>
    <x v="0"/>
    <x v="12"/>
    <x v="0"/>
    <n v="21360"/>
  </r>
  <r>
    <s v="CSKU19482_2PR"/>
    <x v="0"/>
    <x v="1"/>
    <x v="0"/>
    <x v="5"/>
    <x v="0"/>
    <x v="0"/>
    <x v="273"/>
    <x v="0"/>
    <x v="12"/>
    <x v="0"/>
    <n v="22770"/>
  </r>
  <r>
    <s v="CSKU19649_3PR"/>
    <x v="0"/>
    <x v="0"/>
    <x v="0"/>
    <x v="0"/>
    <x v="0"/>
    <x v="0"/>
    <x v="274"/>
    <x v="0"/>
    <x v="10"/>
    <x v="0"/>
    <n v="36640"/>
  </r>
  <r>
    <s v="CSKU19650_3PR"/>
    <x v="0"/>
    <x v="0"/>
    <x v="0"/>
    <x v="6"/>
    <x v="0"/>
    <x v="0"/>
    <x v="274"/>
    <x v="0"/>
    <x v="10"/>
    <x v="0"/>
    <n v="40680"/>
  </r>
  <r>
    <s v="CSKU19651_3PR"/>
    <x v="0"/>
    <x v="0"/>
    <x v="1"/>
    <x v="0"/>
    <x v="0"/>
    <x v="0"/>
    <x v="274"/>
    <x v="1"/>
    <x v="10"/>
    <x v="0"/>
    <n v="39320"/>
  </r>
  <r>
    <s v="CSKU19652_3PR"/>
    <x v="0"/>
    <x v="0"/>
    <x v="1"/>
    <x v="6"/>
    <x v="0"/>
    <x v="0"/>
    <x v="274"/>
    <x v="1"/>
    <x v="10"/>
    <x v="0"/>
    <n v="43720"/>
  </r>
  <r>
    <s v="CSKU19729_3SPR"/>
    <x v="4"/>
    <x v="0"/>
    <x v="0"/>
    <x v="2"/>
    <x v="0"/>
    <x v="0"/>
    <x v="275"/>
    <x v="0"/>
    <x v="15"/>
    <x v="0"/>
    <n v="51310"/>
  </r>
  <r>
    <s v="CSKU19806_2PR"/>
    <x v="0"/>
    <x v="1"/>
    <x v="1"/>
    <x v="4"/>
    <x v="0"/>
    <x v="0"/>
    <x v="265"/>
    <x v="1"/>
    <x v="12"/>
    <x v="0"/>
    <n v="28120"/>
  </r>
  <r>
    <s v="CSKU19555_3PR"/>
    <x v="0"/>
    <x v="0"/>
    <x v="1"/>
    <x v="0"/>
    <x v="0"/>
    <x v="0"/>
    <x v="222"/>
    <x v="1"/>
    <x v="10"/>
    <x v="0"/>
    <n v="40120"/>
  </r>
  <r>
    <s v="CSKU19556_3PR"/>
    <x v="0"/>
    <x v="0"/>
    <x v="1"/>
    <x v="6"/>
    <x v="0"/>
    <x v="0"/>
    <x v="222"/>
    <x v="1"/>
    <x v="10"/>
    <x v="0"/>
    <n v="44470"/>
  </r>
  <r>
    <s v="CSKU19565_3PR"/>
    <x v="0"/>
    <x v="0"/>
    <x v="0"/>
    <x v="0"/>
    <x v="0"/>
    <x v="0"/>
    <x v="276"/>
    <x v="0"/>
    <x v="10"/>
    <x v="0"/>
    <n v="33540"/>
  </r>
  <r>
    <s v="CSKU19566_3PR"/>
    <x v="0"/>
    <x v="0"/>
    <x v="0"/>
    <x v="6"/>
    <x v="0"/>
    <x v="0"/>
    <x v="276"/>
    <x v="0"/>
    <x v="10"/>
    <x v="0"/>
    <n v="37280"/>
  </r>
  <r>
    <s v="CSKU19602_3PR"/>
    <x v="0"/>
    <x v="0"/>
    <x v="0"/>
    <x v="6"/>
    <x v="0"/>
    <x v="0"/>
    <x v="223"/>
    <x v="0"/>
    <x v="10"/>
    <x v="0"/>
    <n v="34440"/>
  </r>
  <r>
    <s v="CSKU19603_3PR"/>
    <x v="0"/>
    <x v="0"/>
    <x v="1"/>
    <x v="0"/>
    <x v="0"/>
    <x v="0"/>
    <x v="223"/>
    <x v="1"/>
    <x v="10"/>
    <x v="0"/>
    <n v="33870"/>
  </r>
  <r>
    <s v="CSKU19604_3PR"/>
    <x v="0"/>
    <x v="0"/>
    <x v="1"/>
    <x v="6"/>
    <x v="0"/>
    <x v="0"/>
    <x v="223"/>
    <x v="1"/>
    <x v="10"/>
    <x v="0"/>
    <n v="37870"/>
  </r>
  <r>
    <s v="CSKU19613_3PR"/>
    <x v="0"/>
    <x v="0"/>
    <x v="0"/>
    <x v="0"/>
    <x v="0"/>
    <x v="0"/>
    <x v="277"/>
    <x v="0"/>
    <x v="10"/>
    <x v="0"/>
    <n v="32380"/>
  </r>
  <r>
    <s v="CSKU19681_3SPR"/>
    <x v="4"/>
    <x v="0"/>
    <x v="0"/>
    <x v="2"/>
    <x v="0"/>
    <x v="0"/>
    <x v="278"/>
    <x v="0"/>
    <x v="15"/>
    <x v="0"/>
    <n v="46660"/>
  </r>
  <r>
    <s v="CSKU19682_3SPR"/>
    <x v="4"/>
    <x v="0"/>
    <x v="1"/>
    <x v="2"/>
    <x v="0"/>
    <x v="0"/>
    <x v="278"/>
    <x v="1"/>
    <x v="15"/>
    <x v="0"/>
    <n v="49590"/>
  </r>
  <r>
    <s v="CSKU19685_3SPR"/>
    <x v="4"/>
    <x v="0"/>
    <x v="0"/>
    <x v="2"/>
    <x v="0"/>
    <x v="0"/>
    <x v="279"/>
    <x v="0"/>
    <x v="15"/>
    <x v="0"/>
    <n v="43830"/>
  </r>
  <r>
    <s v="CSKU19710_3SPR"/>
    <x v="4"/>
    <x v="0"/>
    <x v="1"/>
    <x v="2"/>
    <x v="0"/>
    <x v="0"/>
    <x v="280"/>
    <x v="1"/>
    <x v="15"/>
    <x v="0"/>
    <n v="46340"/>
  </r>
  <r>
    <s v="CSKU19713_3SPR"/>
    <x v="4"/>
    <x v="0"/>
    <x v="0"/>
    <x v="2"/>
    <x v="0"/>
    <x v="0"/>
    <x v="281"/>
    <x v="0"/>
    <x v="15"/>
    <x v="0"/>
    <n v="51310"/>
  </r>
  <r>
    <s v="CSKU19714_3SPR"/>
    <x v="4"/>
    <x v="0"/>
    <x v="1"/>
    <x v="2"/>
    <x v="0"/>
    <x v="0"/>
    <x v="281"/>
    <x v="1"/>
    <x v="15"/>
    <x v="0"/>
    <n v="54240"/>
  </r>
  <r>
    <s v="CSKU75602_2PR"/>
    <x v="0"/>
    <x v="1"/>
    <x v="0"/>
    <x v="1"/>
    <x v="0"/>
    <x v="0"/>
    <x v="254"/>
    <x v="0"/>
    <x v="12"/>
    <x v="0"/>
    <n v="15480"/>
  </r>
  <r>
    <s v="CSKU19730_3SPR"/>
    <x v="4"/>
    <x v="0"/>
    <x v="1"/>
    <x v="2"/>
    <x v="0"/>
    <x v="0"/>
    <x v="275"/>
    <x v="1"/>
    <x v="15"/>
    <x v="0"/>
    <n v="54240"/>
  </r>
  <r>
    <s v="CSKU19733_3SPR"/>
    <x v="4"/>
    <x v="0"/>
    <x v="0"/>
    <x v="2"/>
    <x v="0"/>
    <x v="0"/>
    <x v="282"/>
    <x v="0"/>
    <x v="15"/>
    <x v="0"/>
    <n v="49760"/>
  </r>
  <r>
    <s v="CSKU19734_3SPR"/>
    <x v="4"/>
    <x v="0"/>
    <x v="1"/>
    <x v="2"/>
    <x v="0"/>
    <x v="0"/>
    <x v="282"/>
    <x v="1"/>
    <x v="15"/>
    <x v="0"/>
    <n v="52690"/>
  </r>
  <r>
    <s v="CSKU19737_3SPR"/>
    <x v="4"/>
    <x v="0"/>
    <x v="0"/>
    <x v="2"/>
    <x v="0"/>
    <x v="0"/>
    <x v="283"/>
    <x v="0"/>
    <x v="15"/>
    <x v="0"/>
    <n v="46930"/>
  </r>
  <r>
    <s v="CSKU19738_3SPR"/>
    <x v="4"/>
    <x v="0"/>
    <x v="1"/>
    <x v="2"/>
    <x v="0"/>
    <x v="0"/>
    <x v="283"/>
    <x v="1"/>
    <x v="15"/>
    <x v="0"/>
    <n v="50290"/>
  </r>
  <r>
    <s v="CSKU19809_2PR"/>
    <x v="0"/>
    <x v="1"/>
    <x v="0"/>
    <x v="4"/>
    <x v="0"/>
    <x v="0"/>
    <x v="284"/>
    <x v="0"/>
    <x v="12"/>
    <x v="0"/>
    <n v="25090"/>
  </r>
  <r>
    <s v="CSKU19810_2PR"/>
    <x v="0"/>
    <x v="1"/>
    <x v="1"/>
    <x v="4"/>
    <x v="0"/>
    <x v="0"/>
    <x v="284"/>
    <x v="1"/>
    <x v="12"/>
    <x v="0"/>
    <n v="28120"/>
  </r>
  <r>
    <s v="CSKU19815_2SPR"/>
    <x v="4"/>
    <x v="1"/>
    <x v="0"/>
    <x v="3"/>
    <x v="0"/>
    <x v="0"/>
    <x v="285"/>
    <x v="0"/>
    <x v="16"/>
    <x v="0"/>
    <n v="37460"/>
  </r>
  <r>
    <s v="CSKU19787_2EKSH"/>
    <x v="1"/>
    <x v="1"/>
    <x v="1"/>
    <x v="1"/>
    <x v="4"/>
    <x v="1"/>
    <x v="286"/>
    <x v="1"/>
    <x v="6"/>
    <x v="0"/>
    <n v="21260"/>
  </r>
  <r>
    <s v="CSKU19790_2EKSH"/>
    <x v="1"/>
    <x v="1"/>
    <x v="1"/>
    <x v="1"/>
    <x v="4"/>
    <x v="1"/>
    <x v="268"/>
    <x v="1"/>
    <x v="6"/>
    <x v="0"/>
    <n v="9940"/>
  </r>
  <r>
    <s v="CSKU19793_3PR"/>
    <x v="0"/>
    <x v="0"/>
    <x v="0"/>
    <x v="0"/>
    <x v="0"/>
    <x v="0"/>
    <x v="225"/>
    <x v="0"/>
    <x v="10"/>
    <x v="0"/>
    <n v="37800"/>
  </r>
  <r>
    <s v="CSKU19819_2SPR"/>
    <x v="4"/>
    <x v="1"/>
    <x v="1"/>
    <x v="3"/>
    <x v="0"/>
    <x v="0"/>
    <x v="285"/>
    <x v="1"/>
    <x v="16"/>
    <x v="0"/>
    <n v="41700"/>
  </r>
  <r>
    <s v="CSKU19851_3SPR"/>
    <x v="4"/>
    <x v="0"/>
    <x v="0"/>
    <x v="2"/>
    <x v="0"/>
    <x v="0"/>
    <x v="287"/>
    <x v="0"/>
    <x v="15"/>
    <x v="0"/>
    <n v="38890"/>
  </r>
  <r>
    <s v="CSKU19855_3SPR"/>
    <x v="4"/>
    <x v="0"/>
    <x v="1"/>
    <x v="2"/>
    <x v="0"/>
    <x v="0"/>
    <x v="287"/>
    <x v="1"/>
    <x v="15"/>
    <x v="0"/>
    <n v="43200"/>
  </r>
  <r>
    <s v="CSKU75395_2EKSH"/>
    <x v="1"/>
    <x v="1"/>
    <x v="0"/>
    <x v="1"/>
    <x v="4"/>
    <x v="1"/>
    <x v="288"/>
    <x v="0"/>
    <x v="6"/>
    <x v="0"/>
    <n v="16140"/>
  </r>
  <r>
    <s v="CSKU75400_2EKSH"/>
    <x v="1"/>
    <x v="1"/>
    <x v="0"/>
    <x v="1"/>
    <x v="4"/>
    <x v="1"/>
    <x v="289"/>
    <x v="0"/>
    <x v="6"/>
    <x v="0"/>
    <n v="15240"/>
  </r>
  <r>
    <s v="CSKU75405_2EKSH"/>
    <x v="1"/>
    <x v="1"/>
    <x v="0"/>
    <x v="1"/>
    <x v="4"/>
    <x v="1"/>
    <x v="286"/>
    <x v="0"/>
    <x v="6"/>
    <x v="0"/>
    <n v="20200"/>
  </r>
  <r>
    <s v="CSKU75445_2EK"/>
    <x v="1"/>
    <x v="1"/>
    <x v="0"/>
    <x v="0"/>
    <x v="4"/>
    <x v="6"/>
    <x v="290"/>
    <x v="0"/>
    <x v="7"/>
    <x v="0"/>
    <n v="23120"/>
  </r>
  <r>
    <s v="CSKU75446_2EK"/>
    <x v="1"/>
    <x v="1"/>
    <x v="0"/>
    <x v="0"/>
    <x v="4"/>
    <x v="1"/>
    <x v="290"/>
    <x v="0"/>
    <x v="8"/>
    <x v="0"/>
    <n v="25990"/>
  </r>
  <r>
    <s v="CSKU75447_2EK"/>
    <x v="1"/>
    <x v="1"/>
    <x v="0"/>
    <x v="0"/>
    <x v="1"/>
    <x v="6"/>
    <x v="290"/>
    <x v="0"/>
    <x v="7"/>
    <x v="0"/>
    <n v="24390"/>
  </r>
  <r>
    <s v="CSKU75448_2EK"/>
    <x v="1"/>
    <x v="1"/>
    <x v="0"/>
    <x v="0"/>
    <x v="1"/>
    <x v="1"/>
    <x v="290"/>
    <x v="0"/>
    <x v="8"/>
    <x v="0"/>
    <n v="28160"/>
  </r>
  <r>
    <s v="CSKU75449_2EK"/>
    <x v="1"/>
    <x v="1"/>
    <x v="1"/>
    <x v="0"/>
    <x v="4"/>
    <x v="6"/>
    <x v="290"/>
    <x v="1"/>
    <x v="7"/>
    <x v="0"/>
    <n v="24440"/>
  </r>
  <r>
    <s v="CSKU75450_2EK"/>
    <x v="1"/>
    <x v="1"/>
    <x v="1"/>
    <x v="0"/>
    <x v="4"/>
    <x v="1"/>
    <x v="290"/>
    <x v="1"/>
    <x v="8"/>
    <x v="0"/>
    <n v="27640"/>
  </r>
  <r>
    <s v="CSKU75451_2EK"/>
    <x v="1"/>
    <x v="1"/>
    <x v="1"/>
    <x v="0"/>
    <x v="1"/>
    <x v="6"/>
    <x v="290"/>
    <x v="1"/>
    <x v="7"/>
    <x v="0"/>
    <n v="25740"/>
  </r>
  <r>
    <s v="CSKU75452_2EK"/>
    <x v="1"/>
    <x v="1"/>
    <x v="1"/>
    <x v="0"/>
    <x v="1"/>
    <x v="1"/>
    <x v="290"/>
    <x v="1"/>
    <x v="8"/>
    <x v="0"/>
    <n v="29950"/>
  </r>
  <r>
    <s v="CSKU19835_2SPR"/>
    <x v="4"/>
    <x v="1"/>
    <x v="0"/>
    <x v="3"/>
    <x v="0"/>
    <x v="0"/>
    <x v="266"/>
    <x v="0"/>
    <x v="16"/>
    <x v="0"/>
    <n v="37460"/>
  </r>
  <r>
    <s v="CSKU19463_2PR"/>
    <x v="0"/>
    <x v="1"/>
    <x v="0"/>
    <x v="1"/>
    <x v="0"/>
    <x v="0"/>
    <x v="291"/>
    <x v="0"/>
    <x v="12"/>
    <x v="0"/>
    <n v="25620"/>
  </r>
  <r>
    <s v="CSKU19464_2PR"/>
    <x v="0"/>
    <x v="1"/>
    <x v="0"/>
    <x v="5"/>
    <x v="0"/>
    <x v="0"/>
    <x v="291"/>
    <x v="0"/>
    <x v="12"/>
    <x v="0"/>
    <n v="27310"/>
  </r>
  <r>
    <s v="CSKU19465_2PR"/>
    <x v="0"/>
    <x v="1"/>
    <x v="0"/>
    <x v="4"/>
    <x v="0"/>
    <x v="0"/>
    <x v="291"/>
    <x v="0"/>
    <x v="12"/>
    <x v="0"/>
    <n v="28990"/>
  </r>
  <r>
    <s v="CSKU19466_2PR"/>
    <x v="0"/>
    <x v="1"/>
    <x v="1"/>
    <x v="1"/>
    <x v="0"/>
    <x v="0"/>
    <x v="291"/>
    <x v="1"/>
    <x v="12"/>
    <x v="0"/>
    <n v="27840"/>
  </r>
  <r>
    <s v="CSKU19467_2PR"/>
    <x v="0"/>
    <x v="1"/>
    <x v="1"/>
    <x v="5"/>
    <x v="0"/>
    <x v="0"/>
    <x v="291"/>
    <x v="1"/>
    <x v="12"/>
    <x v="0"/>
    <n v="29670"/>
  </r>
  <r>
    <s v="CSKU19468_2PR"/>
    <x v="0"/>
    <x v="1"/>
    <x v="1"/>
    <x v="4"/>
    <x v="0"/>
    <x v="0"/>
    <x v="291"/>
    <x v="1"/>
    <x v="12"/>
    <x v="0"/>
    <n v="31530"/>
  </r>
  <r>
    <s v="CSKU19483_2PR"/>
    <x v="0"/>
    <x v="1"/>
    <x v="0"/>
    <x v="4"/>
    <x v="0"/>
    <x v="0"/>
    <x v="273"/>
    <x v="0"/>
    <x v="12"/>
    <x v="0"/>
    <n v="24610"/>
  </r>
  <r>
    <s v="CSKU19567_3PR"/>
    <x v="0"/>
    <x v="0"/>
    <x v="1"/>
    <x v="0"/>
    <x v="0"/>
    <x v="0"/>
    <x v="276"/>
    <x v="1"/>
    <x v="10"/>
    <x v="0"/>
    <n v="36220"/>
  </r>
  <r>
    <s v="CSKU19614_3PR"/>
    <x v="0"/>
    <x v="0"/>
    <x v="0"/>
    <x v="6"/>
    <x v="0"/>
    <x v="0"/>
    <x v="277"/>
    <x v="0"/>
    <x v="10"/>
    <x v="0"/>
    <n v="36140"/>
  </r>
  <r>
    <s v="CSKU19686_3SPR"/>
    <x v="4"/>
    <x v="0"/>
    <x v="1"/>
    <x v="2"/>
    <x v="0"/>
    <x v="0"/>
    <x v="279"/>
    <x v="1"/>
    <x v="15"/>
    <x v="0"/>
    <n v="47190"/>
  </r>
  <r>
    <s v="CSKU19373_2PR"/>
    <x v="0"/>
    <x v="1"/>
    <x v="0"/>
    <x v="1"/>
    <x v="0"/>
    <x v="0"/>
    <x v="292"/>
    <x v="0"/>
    <x v="12"/>
    <x v="0"/>
    <n v="28330"/>
  </r>
  <r>
    <s v="CSKU19374_2PR"/>
    <x v="0"/>
    <x v="1"/>
    <x v="0"/>
    <x v="5"/>
    <x v="0"/>
    <x v="0"/>
    <x v="292"/>
    <x v="0"/>
    <x v="12"/>
    <x v="0"/>
    <n v="30150"/>
  </r>
  <r>
    <s v="CSKU19375_2PR"/>
    <x v="0"/>
    <x v="1"/>
    <x v="0"/>
    <x v="4"/>
    <x v="0"/>
    <x v="0"/>
    <x v="292"/>
    <x v="0"/>
    <x v="12"/>
    <x v="0"/>
    <n v="31820"/>
  </r>
  <r>
    <s v="CSKU19376_2PR"/>
    <x v="0"/>
    <x v="1"/>
    <x v="1"/>
    <x v="1"/>
    <x v="0"/>
    <x v="0"/>
    <x v="292"/>
    <x v="1"/>
    <x v="12"/>
    <x v="0"/>
    <n v="30190"/>
  </r>
  <r>
    <s v="CSKU19377_2PR"/>
    <x v="0"/>
    <x v="1"/>
    <x v="1"/>
    <x v="5"/>
    <x v="0"/>
    <x v="0"/>
    <x v="292"/>
    <x v="1"/>
    <x v="12"/>
    <x v="0"/>
    <n v="32120"/>
  </r>
  <r>
    <s v="CSKU19378_2PR"/>
    <x v="0"/>
    <x v="1"/>
    <x v="1"/>
    <x v="4"/>
    <x v="0"/>
    <x v="0"/>
    <x v="292"/>
    <x v="1"/>
    <x v="12"/>
    <x v="0"/>
    <n v="33930"/>
  </r>
  <r>
    <s v="CSKU19396_2PR"/>
    <x v="0"/>
    <x v="1"/>
    <x v="1"/>
    <x v="4"/>
    <x v="0"/>
    <x v="0"/>
    <x v="220"/>
    <x v="1"/>
    <x v="12"/>
    <x v="0"/>
    <n v="33930"/>
  </r>
  <r>
    <s v="CSKU19431_2PR"/>
    <x v="0"/>
    <x v="1"/>
    <x v="1"/>
    <x v="5"/>
    <x v="0"/>
    <x v="0"/>
    <x v="221"/>
    <x v="1"/>
    <x v="12"/>
    <x v="0"/>
    <n v="29670"/>
  </r>
  <r>
    <s v="CSKU19432_2PR"/>
    <x v="0"/>
    <x v="1"/>
    <x v="1"/>
    <x v="4"/>
    <x v="0"/>
    <x v="0"/>
    <x v="221"/>
    <x v="1"/>
    <x v="12"/>
    <x v="0"/>
    <n v="31530"/>
  </r>
  <r>
    <s v="CSKU19484_2PR"/>
    <x v="0"/>
    <x v="1"/>
    <x v="1"/>
    <x v="1"/>
    <x v="0"/>
    <x v="0"/>
    <x v="273"/>
    <x v="1"/>
    <x v="12"/>
    <x v="0"/>
    <n v="23940"/>
  </r>
  <r>
    <s v="CSKU19485_2PR"/>
    <x v="0"/>
    <x v="1"/>
    <x v="1"/>
    <x v="5"/>
    <x v="0"/>
    <x v="0"/>
    <x v="273"/>
    <x v="1"/>
    <x v="12"/>
    <x v="0"/>
    <n v="25520"/>
  </r>
  <r>
    <s v="CSKU19486_2PR"/>
    <x v="0"/>
    <x v="1"/>
    <x v="1"/>
    <x v="4"/>
    <x v="0"/>
    <x v="0"/>
    <x v="273"/>
    <x v="1"/>
    <x v="12"/>
    <x v="0"/>
    <n v="27580"/>
  </r>
  <r>
    <s v="CSKU19615_3PR"/>
    <x v="0"/>
    <x v="0"/>
    <x v="1"/>
    <x v="0"/>
    <x v="0"/>
    <x v="0"/>
    <x v="277"/>
    <x v="1"/>
    <x v="10"/>
    <x v="0"/>
    <n v="35420"/>
  </r>
  <r>
    <s v="CSKU19616_3PR"/>
    <x v="0"/>
    <x v="0"/>
    <x v="1"/>
    <x v="6"/>
    <x v="0"/>
    <x v="0"/>
    <x v="277"/>
    <x v="1"/>
    <x v="10"/>
    <x v="0"/>
    <n v="39570"/>
  </r>
  <r>
    <s v="CSKU19529_3PR"/>
    <x v="0"/>
    <x v="0"/>
    <x v="0"/>
    <x v="0"/>
    <x v="0"/>
    <x v="0"/>
    <x v="293"/>
    <x v="0"/>
    <x v="10"/>
    <x v="0"/>
    <n v="36640"/>
  </r>
  <r>
    <s v="CSKU19530_3PR"/>
    <x v="0"/>
    <x v="0"/>
    <x v="0"/>
    <x v="6"/>
    <x v="0"/>
    <x v="0"/>
    <x v="293"/>
    <x v="0"/>
    <x v="10"/>
    <x v="0"/>
    <n v="40680"/>
  </r>
  <r>
    <s v="CSKU19531_3PR"/>
    <x v="0"/>
    <x v="0"/>
    <x v="1"/>
    <x v="0"/>
    <x v="0"/>
    <x v="0"/>
    <x v="293"/>
    <x v="1"/>
    <x v="10"/>
    <x v="0"/>
    <n v="39320"/>
  </r>
  <r>
    <s v="CSKU19532_3PR"/>
    <x v="0"/>
    <x v="0"/>
    <x v="1"/>
    <x v="6"/>
    <x v="0"/>
    <x v="0"/>
    <x v="293"/>
    <x v="1"/>
    <x v="10"/>
    <x v="0"/>
    <n v="43720"/>
  </r>
  <r>
    <s v="CSKU19568_3PR"/>
    <x v="0"/>
    <x v="0"/>
    <x v="1"/>
    <x v="6"/>
    <x v="0"/>
    <x v="0"/>
    <x v="276"/>
    <x v="1"/>
    <x v="10"/>
    <x v="0"/>
    <n v="40320"/>
  </r>
  <r>
    <s v="CSKU19577_3PR"/>
    <x v="0"/>
    <x v="0"/>
    <x v="0"/>
    <x v="0"/>
    <x v="0"/>
    <x v="0"/>
    <x v="294"/>
    <x v="0"/>
    <x v="10"/>
    <x v="0"/>
    <n v="36250"/>
  </r>
  <r>
    <s v="CSKU19578_3PR"/>
    <x v="0"/>
    <x v="0"/>
    <x v="0"/>
    <x v="6"/>
    <x v="0"/>
    <x v="0"/>
    <x v="294"/>
    <x v="0"/>
    <x v="10"/>
    <x v="0"/>
    <n v="40120"/>
  </r>
  <r>
    <s v="CSKU19579_3PR"/>
    <x v="0"/>
    <x v="0"/>
    <x v="1"/>
    <x v="0"/>
    <x v="0"/>
    <x v="0"/>
    <x v="294"/>
    <x v="1"/>
    <x v="10"/>
    <x v="0"/>
    <n v="38570"/>
  </r>
  <r>
    <s v="CSKU19553_3PR"/>
    <x v="0"/>
    <x v="0"/>
    <x v="0"/>
    <x v="0"/>
    <x v="0"/>
    <x v="0"/>
    <x v="222"/>
    <x v="0"/>
    <x v="10"/>
    <x v="0"/>
    <n v="37800"/>
  </r>
  <r>
    <s v="CSKU19580_3PR"/>
    <x v="0"/>
    <x v="0"/>
    <x v="1"/>
    <x v="6"/>
    <x v="0"/>
    <x v="0"/>
    <x v="294"/>
    <x v="1"/>
    <x v="10"/>
    <x v="0"/>
    <n v="42770"/>
  </r>
  <r>
    <s v="CSKU19741_3SPR"/>
    <x v="4"/>
    <x v="0"/>
    <x v="0"/>
    <x v="2"/>
    <x v="0"/>
    <x v="0"/>
    <x v="295"/>
    <x v="0"/>
    <x v="15"/>
    <x v="0"/>
    <n v="51310"/>
  </r>
  <r>
    <s v="CSKU19589_3PR"/>
    <x v="0"/>
    <x v="0"/>
    <x v="0"/>
    <x v="0"/>
    <x v="0"/>
    <x v="0"/>
    <x v="296"/>
    <x v="0"/>
    <x v="10"/>
    <x v="0"/>
    <n v="32380"/>
  </r>
  <r>
    <s v="CSKU19590_3PR"/>
    <x v="0"/>
    <x v="0"/>
    <x v="0"/>
    <x v="6"/>
    <x v="0"/>
    <x v="0"/>
    <x v="296"/>
    <x v="0"/>
    <x v="10"/>
    <x v="0"/>
    <n v="36140"/>
  </r>
  <r>
    <s v="CSKU19591_3PR"/>
    <x v="0"/>
    <x v="0"/>
    <x v="1"/>
    <x v="0"/>
    <x v="0"/>
    <x v="0"/>
    <x v="296"/>
    <x v="1"/>
    <x v="10"/>
    <x v="0"/>
    <n v="35420"/>
  </r>
  <r>
    <s v="CSKU19592_3PR"/>
    <x v="0"/>
    <x v="0"/>
    <x v="1"/>
    <x v="6"/>
    <x v="0"/>
    <x v="0"/>
    <x v="296"/>
    <x v="1"/>
    <x v="10"/>
    <x v="0"/>
    <n v="39570"/>
  </r>
  <r>
    <s v="CSKU19625_3PR"/>
    <x v="0"/>
    <x v="0"/>
    <x v="0"/>
    <x v="0"/>
    <x v="0"/>
    <x v="0"/>
    <x v="297"/>
    <x v="0"/>
    <x v="10"/>
    <x v="0"/>
    <n v="28120"/>
  </r>
  <r>
    <s v="CSKU19626_3PR"/>
    <x v="0"/>
    <x v="0"/>
    <x v="0"/>
    <x v="6"/>
    <x v="0"/>
    <x v="0"/>
    <x v="297"/>
    <x v="0"/>
    <x v="10"/>
    <x v="0"/>
    <n v="31600"/>
  </r>
  <r>
    <s v="CSKU19627_3PR"/>
    <x v="0"/>
    <x v="0"/>
    <x v="1"/>
    <x v="0"/>
    <x v="0"/>
    <x v="0"/>
    <x v="297"/>
    <x v="1"/>
    <x v="10"/>
    <x v="0"/>
    <n v="31520"/>
  </r>
  <r>
    <s v="CSKU19628_3PR"/>
    <x v="0"/>
    <x v="0"/>
    <x v="1"/>
    <x v="6"/>
    <x v="0"/>
    <x v="0"/>
    <x v="297"/>
    <x v="1"/>
    <x v="10"/>
    <x v="0"/>
    <n v="35420"/>
  </r>
  <r>
    <s v="CSKU19689_3SPR"/>
    <x v="4"/>
    <x v="0"/>
    <x v="0"/>
    <x v="2"/>
    <x v="0"/>
    <x v="0"/>
    <x v="298"/>
    <x v="0"/>
    <x v="15"/>
    <x v="0"/>
    <n v="48210"/>
  </r>
  <r>
    <s v="CSKU19690_3SPR"/>
    <x v="4"/>
    <x v="0"/>
    <x v="1"/>
    <x v="2"/>
    <x v="0"/>
    <x v="0"/>
    <x v="298"/>
    <x v="1"/>
    <x v="15"/>
    <x v="0"/>
    <n v="51140"/>
  </r>
  <r>
    <s v="CSKU19693_3SPR"/>
    <x v="4"/>
    <x v="0"/>
    <x v="0"/>
    <x v="2"/>
    <x v="0"/>
    <x v="0"/>
    <x v="299"/>
    <x v="0"/>
    <x v="15"/>
    <x v="0"/>
    <n v="48210"/>
  </r>
  <r>
    <s v="CSKU19694_3SPR"/>
    <x v="4"/>
    <x v="0"/>
    <x v="1"/>
    <x v="2"/>
    <x v="0"/>
    <x v="0"/>
    <x v="299"/>
    <x v="1"/>
    <x v="15"/>
    <x v="0"/>
    <n v="51140"/>
  </r>
  <r>
    <s v="CSKU19697_3SPR"/>
    <x v="4"/>
    <x v="0"/>
    <x v="0"/>
    <x v="2"/>
    <x v="0"/>
    <x v="0"/>
    <x v="300"/>
    <x v="0"/>
    <x v="15"/>
    <x v="0"/>
    <n v="38170"/>
  </r>
  <r>
    <s v="CSKU19698_3SPR"/>
    <x v="4"/>
    <x v="0"/>
    <x v="1"/>
    <x v="2"/>
    <x v="0"/>
    <x v="0"/>
    <x v="300"/>
    <x v="1"/>
    <x v="15"/>
    <x v="0"/>
    <n v="42390"/>
  </r>
  <r>
    <s v="CSKU19637_3PR"/>
    <x v="0"/>
    <x v="0"/>
    <x v="0"/>
    <x v="0"/>
    <x v="0"/>
    <x v="0"/>
    <x v="301"/>
    <x v="0"/>
    <x v="10"/>
    <x v="0"/>
    <n v="39350"/>
  </r>
  <r>
    <s v="CSKU19638_3PR"/>
    <x v="0"/>
    <x v="0"/>
    <x v="0"/>
    <x v="6"/>
    <x v="0"/>
    <x v="0"/>
    <x v="301"/>
    <x v="0"/>
    <x v="10"/>
    <x v="0"/>
    <n v="43520"/>
  </r>
  <r>
    <s v="CSKU19639_3PR"/>
    <x v="0"/>
    <x v="0"/>
    <x v="1"/>
    <x v="0"/>
    <x v="0"/>
    <x v="0"/>
    <x v="301"/>
    <x v="1"/>
    <x v="10"/>
    <x v="0"/>
    <n v="41670"/>
  </r>
  <r>
    <s v="CSKU19640_3PR"/>
    <x v="0"/>
    <x v="0"/>
    <x v="1"/>
    <x v="6"/>
    <x v="0"/>
    <x v="0"/>
    <x v="301"/>
    <x v="1"/>
    <x v="10"/>
    <x v="0"/>
    <n v="46170"/>
  </r>
  <r>
    <s v="CSKU19701_3SPR"/>
    <x v="4"/>
    <x v="0"/>
    <x v="0"/>
    <x v="2"/>
    <x v="0"/>
    <x v="0"/>
    <x v="302"/>
    <x v="0"/>
    <x v="15"/>
    <x v="0"/>
    <n v="41000"/>
  </r>
  <r>
    <s v="CSKU19702_3SPR"/>
    <x v="4"/>
    <x v="0"/>
    <x v="1"/>
    <x v="2"/>
    <x v="0"/>
    <x v="0"/>
    <x v="302"/>
    <x v="1"/>
    <x v="15"/>
    <x v="0"/>
    <n v="44790"/>
  </r>
  <r>
    <s v="CSKU19705_3SPR"/>
    <x v="4"/>
    <x v="0"/>
    <x v="0"/>
    <x v="2"/>
    <x v="0"/>
    <x v="0"/>
    <x v="303"/>
    <x v="0"/>
    <x v="15"/>
    <x v="0"/>
    <n v="42550"/>
  </r>
  <r>
    <s v="CSKU19706_3SPR"/>
    <x v="4"/>
    <x v="0"/>
    <x v="1"/>
    <x v="2"/>
    <x v="0"/>
    <x v="0"/>
    <x v="303"/>
    <x v="1"/>
    <x v="15"/>
    <x v="0"/>
    <n v="46340"/>
  </r>
  <r>
    <s v="CSKU19709_3SPR"/>
    <x v="4"/>
    <x v="0"/>
    <x v="0"/>
    <x v="2"/>
    <x v="0"/>
    <x v="0"/>
    <x v="280"/>
    <x v="0"/>
    <x v="15"/>
    <x v="0"/>
    <n v="42550"/>
  </r>
  <r>
    <s v="CSKU19311_3ES"/>
    <x v="2"/>
    <x v="0"/>
    <x v="1"/>
    <x v="9"/>
    <x v="4"/>
    <x v="7"/>
    <x v="304"/>
    <x v="1"/>
    <x v="14"/>
    <x v="0"/>
    <n v="120480"/>
  </r>
  <r>
    <s v="CSKU19312_3ES"/>
    <x v="2"/>
    <x v="0"/>
    <x v="1"/>
    <x v="9"/>
    <x v="1"/>
    <x v="7"/>
    <x v="304"/>
    <x v="1"/>
    <x v="14"/>
    <x v="0"/>
    <n v="142180"/>
  </r>
  <r>
    <s v="CSKU19237_3ES"/>
    <x v="2"/>
    <x v="0"/>
    <x v="1"/>
    <x v="8"/>
    <x v="4"/>
    <x v="7"/>
    <x v="219"/>
    <x v="1"/>
    <x v="14"/>
    <x v="0"/>
    <n v="103610"/>
  </r>
  <r>
    <s v="CSKU19238_3ES"/>
    <x v="2"/>
    <x v="0"/>
    <x v="1"/>
    <x v="8"/>
    <x v="1"/>
    <x v="7"/>
    <x v="219"/>
    <x v="1"/>
    <x v="14"/>
    <x v="0"/>
    <n v="119750"/>
  </r>
  <r>
    <s v="CSKU19239_3ES"/>
    <x v="2"/>
    <x v="0"/>
    <x v="1"/>
    <x v="9"/>
    <x v="4"/>
    <x v="7"/>
    <x v="219"/>
    <x v="1"/>
    <x v="14"/>
    <x v="0"/>
    <n v="107580"/>
  </r>
  <r>
    <s v="CSKU19240_3ES"/>
    <x v="2"/>
    <x v="0"/>
    <x v="1"/>
    <x v="9"/>
    <x v="1"/>
    <x v="7"/>
    <x v="219"/>
    <x v="1"/>
    <x v="14"/>
    <x v="0"/>
    <n v="125710"/>
  </r>
  <r>
    <s v="CSKU19265_3ES"/>
    <x v="2"/>
    <x v="0"/>
    <x v="0"/>
    <x v="2"/>
    <x v="4"/>
    <x v="7"/>
    <x v="305"/>
    <x v="0"/>
    <x v="14"/>
    <x v="0"/>
    <n v="107420"/>
  </r>
  <r>
    <s v="CSKU19266_3ES"/>
    <x v="2"/>
    <x v="0"/>
    <x v="0"/>
    <x v="8"/>
    <x v="4"/>
    <x v="7"/>
    <x v="305"/>
    <x v="0"/>
    <x v="14"/>
    <x v="0"/>
    <n v="110980"/>
  </r>
  <r>
    <s v="CSKU19267_3ES"/>
    <x v="2"/>
    <x v="0"/>
    <x v="0"/>
    <x v="9"/>
    <x v="4"/>
    <x v="7"/>
    <x v="305"/>
    <x v="0"/>
    <x v="14"/>
    <x v="0"/>
    <n v="114520"/>
  </r>
  <r>
    <s v="CSKU19268_3ES"/>
    <x v="2"/>
    <x v="0"/>
    <x v="0"/>
    <x v="2"/>
    <x v="1"/>
    <x v="7"/>
    <x v="305"/>
    <x v="0"/>
    <x v="14"/>
    <x v="0"/>
    <n v="126070"/>
  </r>
  <r>
    <s v="CSKU19269_3ES"/>
    <x v="2"/>
    <x v="0"/>
    <x v="0"/>
    <x v="8"/>
    <x v="1"/>
    <x v="7"/>
    <x v="305"/>
    <x v="0"/>
    <x v="14"/>
    <x v="0"/>
    <n v="129630"/>
  </r>
  <r>
    <s v="CSKU19742_3SPR"/>
    <x v="4"/>
    <x v="0"/>
    <x v="1"/>
    <x v="2"/>
    <x v="0"/>
    <x v="0"/>
    <x v="295"/>
    <x v="1"/>
    <x v="15"/>
    <x v="0"/>
    <n v="54240"/>
  </r>
  <r>
    <s v="CSKU19778_2EKSH"/>
    <x v="1"/>
    <x v="1"/>
    <x v="1"/>
    <x v="1"/>
    <x v="4"/>
    <x v="1"/>
    <x v="267"/>
    <x v="1"/>
    <x v="6"/>
    <x v="0"/>
    <n v="18100"/>
  </r>
  <r>
    <s v="CSKU19781_2EKSH"/>
    <x v="1"/>
    <x v="1"/>
    <x v="1"/>
    <x v="1"/>
    <x v="4"/>
    <x v="1"/>
    <x v="288"/>
    <x v="1"/>
    <x v="6"/>
    <x v="0"/>
    <n v="17580"/>
  </r>
  <r>
    <s v="CSKU19784_2EKSH"/>
    <x v="1"/>
    <x v="1"/>
    <x v="1"/>
    <x v="1"/>
    <x v="4"/>
    <x v="1"/>
    <x v="289"/>
    <x v="1"/>
    <x v="6"/>
    <x v="0"/>
    <n v="17060"/>
  </r>
  <r>
    <s v="CSKU19359_2PR"/>
    <x v="0"/>
    <x v="1"/>
    <x v="1"/>
    <x v="5"/>
    <x v="0"/>
    <x v="0"/>
    <x v="306"/>
    <x v="1"/>
    <x v="12"/>
    <x v="0"/>
    <n v="33820"/>
  </r>
  <r>
    <s v="CSKU19360_2PR"/>
    <x v="0"/>
    <x v="1"/>
    <x v="1"/>
    <x v="4"/>
    <x v="0"/>
    <x v="0"/>
    <x v="306"/>
    <x v="1"/>
    <x v="12"/>
    <x v="0"/>
    <n v="35480"/>
  </r>
  <r>
    <s v="CSKU19391_2PR"/>
    <x v="0"/>
    <x v="1"/>
    <x v="0"/>
    <x v="1"/>
    <x v="0"/>
    <x v="0"/>
    <x v="220"/>
    <x v="0"/>
    <x v="12"/>
    <x v="0"/>
    <n v="28330"/>
  </r>
  <r>
    <s v="CSKU19341_1UEK"/>
    <x v="5"/>
    <x v="3"/>
    <x v="0"/>
    <x v="10"/>
    <x v="4"/>
    <x v="11"/>
    <x v="307"/>
    <x v="0"/>
    <x v="17"/>
    <x v="0"/>
    <n v="16270"/>
  </r>
  <r>
    <s v="CSKU19342_1UEK"/>
    <x v="5"/>
    <x v="3"/>
    <x v="0"/>
    <x v="10"/>
    <x v="1"/>
    <x v="11"/>
    <x v="307"/>
    <x v="0"/>
    <x v="17"/>
    <x v="0"/>
    <n v="16920"/>
  </r>
  <r>
    <s v="CSKU19343_1UEK"/>
    <x v="5"/>
    <x v="3"/>
    <x v="1"/>
    <x v="10"/>
    <x v="4"/>
    <x v="11"/>
    <x v="307"/>
    <x v="1"/>
    <x v="17"/>
    <x v="0"/>
    <n v="17900"/>
  </r>
  <r>
    <s v="CSKU19344_1UEK"/>
    <x v="5"/>
    <x v="3"/>
    <x v="1"/>
    <x v="10"/>
    <x v="1"/>
    <x v="11"/>
    <x v="307"/>
    <x v="1"/>
    <x v="17"/>
    <x v="0"/>
    <n v="18630"/>
  </r>
  <r>
    <s v="CSKU19392_2PR"/>
    <x v="0"/>
    <x v="1"/>
    <x v="0"/>
    <x v="5"/>
    <x v="0"/>
    <x v="0"/>
    <x v="220"/>
    <x v="0"/>
    <x v="12"/>
    <x v="0"/>
    <n v="30150"/>
  </r>
  <r>
    <s v="CSKU19393_2PR"/>
    <x v="0"/>
    <x v="1"/>
    <x v="0"/>
    <x v="4"/>
    <x v="0"/>
    <x v="0"/>
    <x v="220"/>
    <x v="0"/>
    <x v="12"/>
    <x v="0"/>
    <n v="31820"/>
  </r>
  <r>
    <s v="CSKU19394_2PR"/>
    <x v="0"/>
    <x v="1"/>
    <x v="1"/>
    <x v="1"/>
    <x v="0"/>
    <x v="0"/>
    <x v="220"/>
    <x v="1"/>
    <x v="12"/>
    <x v="0"/>
    <n v="30190"/>
  </r>
  <r>
    <s v="CSKU19541_3PR"/>
    <x v="0"/>
    <x v="0"/>
    <x v="0"/>
    <x v="0"/>
    <x v="0"/>
    <x v="0"/>
    <x v="308"/>
    <x v="0"/>
    <x v="10"/>
    <x v="0"/>
    <n v="40900"/>
  </r>
  <r>
    <s v="CSKU19542_3PR"/>
    <x v="0"/>
    <x v="0"/>
    <x v="0"/>
    <x v="6"/>
    <x v="0"/>
    <x v="0"/>
    <x v="308"/>
    <x v="0"/>
    <x v="10"/>
    <x v="0"/>
    <n v="45220"/>
  </r>
  <r>
    <s v="CSKU19543_3PR"/>
    <x v="0"/>
    <x v="0"/>
    <x v="1"/>
    <x v="0"/>
    <x v="0"/>
    <x v="0"/>
    <x v="308"/>
    <x v="1"/>
    <x v="10"/>
    <x v="0"/>
    <n v="43220"/>
  </r>
  <r>
    <s v="CSKU19544_3PR"/>
    <x v="0"/>
    <x v="0"/>
    <x v="1"/>
    <x v="6"/>
    <x v="0"/>
    <x v="0"/>
    <x v="308"/>
    <x v="1"/>
    <x v="10"/>
    <x v="0"/>
    <n v="47870"/>
  </r>
  <r>
    <s v="CSKU19499_2PR"/>
    <x v="0"/>
    <x v="1"/>
    <x v="0"/>
    <x v="1"/>
    <x v="0"/>
    <x v="0"/>
    <x v="309"/>
    <x v="0"/>
    <x v="12"/>
    <x v="0"/>
    <n v="29880"/>
  </r>
  <r>
    <s v="CSKU19500_2PR"/>
    <x v="0"/>
    <x v="1"/>
    <x v="0"/>
    <x v="5"/>
    <x v="0"/>
    <x v="0"/>
    <x v="309"/>
    <x v="0"/>
    <x v="12"/>
    <x v="0"/>
    <n v="31850"/>
  </r>
  <r>
    <s v="CSKU19501_2PR"/>
    <x v="0"/>
    <x v="1"/>
    <x v="0"/>
    <x v="4"/>
    <x v="0"/>
    <x v="0"/>
    <x v="309"/>
    <x v="0"/>
    <x v="12"/>
    <x v="0"/>
    <n v="33370"/>
  </r>
  <r>
    <s v="CSKU19502_2PR"/>
    <x v="0"/>
    <x v="1"/>
    <x v="1"/>
    <x v="1"/>
    <x v="0"/>
    <x v="0"/>
    <x v="309"/>
    <x v="1"/>
    <x v="12"/>
    <x v="0"/>
    <n v="31740"/>
  </r>
  <r>
    <s v="CSKU19503_2PR"/>
    <x v="0"/>
    <x v="1"/>
    <x v="1"/>
    <x v="5"/>
    <x v="0"/>
    <x v="0"/>
    <x v="309"/>
    <x v="1"/>
    <x v="12"/>
    <x v="0"/>
    <n v="33820"/>
  </r>
  <r>
    <s v="CSKU19504_2PR"/>
    <x v="0"/>
    <x v="1"/>
    <x v="1"/>
    <x v="4"/>
    <x v="0"/>
    <x v="0"/>
    <x v="309"/>
    <x v="1"/>
    <x v="12"/>
    <x v="0"/>
    <n v="35480"/>
  </r>
  <r>
    <s v="CSKU19355_2PR"/>
    <x v="0"/>
    <x v="1"/>
    <x v="0"/>
    <x v="1"/>
    <x v="0"/>
    <x v="0"/>
    <x v="306"/>
    <x v="0"/>
    <x v="12"/>
    <x v="0"/>
    <n v="29880"/>
  </r>
  <r>
    <s v="CSKU19356_2PR"/>
    <x v="0"/>
    <x v="1"/>
    <x v="0"/>
    <x v="5"/>
    <x v="0"/>
    <x v="0"/>
    <x v="306"/>
    <x v="0"/>
    <x v="12"/>
    <x v="0"/>
    <n v="31850"/>
  </r>
  <r>
    <s v="CSKU19357_2PR"/>
    <x v="0"/>
    <x v="1"/>
    <x v="0"/>
    <x v="4"/>
    <x v="0"/>
    <x v="0"/>
    <x v="306"/>
    <x v="0"/>
    <x v="12"/>
    <x v="0"/>
    <n v="33370"/>
  </r>
  <r>
    <s v="CSKU19358_2PR"/>
    <x v="0"/>
    <x v="1"/>
    <x v="1"/>
    <x v="1"/>
    <x v="0"/>
    <x v="0"/>
    <x v="306"/>
    <x v="1"/>
    <x v="12"/>
    <x v="0"/>
    <n v="31740"/>
  </r>
  <r>
    <s v="CSKU19409_2PR"/>
    <x v="0"/>
    <x v="1"/>
    <x v="0"/>
    <x v="1"/>
    <x v="0"/>
    <x v="0"/>
    <x v="310"/>
    <x v="0"/>
    <x v="12"/>
    <x v="0"/>
    <n v="26780"/>
  </r>
  <r>
    <s v="CSKU19410_2PR"/>
    <x v="0"/>
    <x v="1"/>
    <x v="0"/>
    <x v="5"/>
    <x v="0"/>
    <x v="0"/>
    <x v="310"/>
    <x v="0"/>
    <x v="12"/>
    <x v="0"/>
    <n v="28450"/>
  </r>
  <r>
    <s v="CSKU19411_2PR"/>
    <x v="0"/>
    <x v="1"/>
    <x v="0"/>
    <x v="4"/>
    <x v="0"/>
    <x v="0"/>
    <x v="310"/>
    <x v="0"/>
    <x v="12"/>
    <x v="0"/>
    <n v="30270"/>
  </r>
  <r>
    <s v="CSKU19412_2PR"/>
    <x v="0"/>
    <x v="1"/>
    <x v="1"/>
    <x v="1"/>
    <x v="0"/>
    <x v="0"/>
    <x v="310"/>
    <x v="1"/>
    <x v="12"/>
    <x v="0"/>
    <n v="28640"/>
  </r>
  <r>
    <s v="CSKU19413_2PR"/>
    <x v="0"/>
    <x v="1"/>
    <x v="1"/>
    <x v="5"/>
    <x v="0"/>
    <x v="0"/>
    <x v="310"/>
    <x v="1"/>
    <x v="12"/>
    <x v="0"/>
    <n v="30420"/>
  </r>
  <r>
    <s v="CSKU19414_2PR"/>
    <x v="0"/>
    <x v="1"/>
    <x v="1"/>
    <x v="4"/>
    <x v="0"/>
    <x v="0"/>
    <x v="310"/>
    <x v="1"/>
    <x v="12"/>
    <x v="0"/>
    <n v="32380"/>
  </r>
  <r>
    <s v="CSKU19445_2PR"/>
    <x v="0"/>
    <x v="1"/>
    <x v="0"/>
    <x v="1"/>
    <x v="0"/>
    <x v="0"/>
    <x v="311"/>
    <x v="0"/>
    <x v="12"/>
    <x v="0"/>
    <n v="24070"/>
  </r>
  <r>
    <s v="CSKU19446_2PR"/>
    <x v="0"/>
    <x v="1"/>
    <x v="0"/>
    <x v="5"/>
    <x v="0"/>
    <x v="0"/>
    <x v="311"/>
    <x v="0"/>
    <x v="12"/>
    <x v="0"/>
    <n v="25610"/>
  </r>
  <r>
    <s v="CSKU19447_2PR"/>
    <x v="0"/>
    <x v="1"/>
    <x v="0"/>
    <x v="4"/>
    <x v="0"/>
    <x v="0"/>
    <x v="311"/>
    <x v="0"/>
    <x v="12"/>
    <x v="0"/>
    <n v="27440"/>
  </r>
  <r>
    <s v="CSKU19448_2PR"/>
    <x v="0"/>
    <x v="1"/>
    <x v="1"/>
    <x v="1"/>
    <x v="0"/>
    <x v="0"/>
    <x v="311"/>
    <x v="1"/>
    <x v="12"/>
    <x v="0"/>
    <n v="26290"/>
  </r>
  <r>
    <s v="CSKU19449_2PR"/>
    <x v="0"/>
    <x v="1"/>
    <x v="1"/>
    <x v="5"/>
    <x v="0"/>
    <x v="0"/>
    <x v="311"/>
    <x v="1"/>
    <x v="12"/>
    <x v="0"/>
    <n v="27970"/>
  </r>
  <r>
    <s v="CSKU19450_2PR"/>
    <x v="0"/>
    <x v="1"/>
    <x v="1"/>
    <x v="4"/>
    <x v="0"/>
    <x v="0"/>
    <x v="311"/>
    <x v="1"/>
    <x v="12"/>
    <x v="0"/>
    <n v="29980"/>
  </r>
  <r>
    <s v="CSKU19427_2PR"/>
    <x v="0"/>
    <x v="1"/>
    <x v="0"/>
    <x v="1"/>
    <x v="0"/>
    <x v="0"/>
    <x v="221"/>
    <x v="0"/>
    <x v="12"/>
    <x v="0"/>
    <n v="25620"/>
  </r>
  <r>
    <s v="CSKU19428_2PR"/>
    <x v="0"/>
    <x v="1"/>
    <x v="0"/>
    <x v="5"/>
    <x v="0"/>
    <x v="0"/>
    <x v="221"/>
    <x v="0"/>
    <x v="12"/>
    <x v="0"/>
    <n v="27310"/>
  </r>
  <r>
    <s v="CSKU19429_2PR"/>
    <x v="0"/>
    <x v="1"/>
    <x v="0"/>
    <x v="4"/>
    <x v="0"/>
    <x v="0"/>
    <x v="221"/>
    <x v="0"/>
    <x v="12"/>
    <x v="0"/>
    <n v="28990"/>
  </r>
  <r>
    <s v="CSKU19233_3ES"/>
    <x v="2"/>
    <x v="0"/>
    <x v="0"/>
    <x v="8"/>
    <x v="1"/>
    <x v="7"/>
    <x v="219"/>
    <x v="0"/>
    <x v="14"/>
    <x v="0"/>
    <n v="113160"/>
  </r>
  <r>
    <s v="CSKU19234_3ES"/>
    <x v="2"/>
    <x v="0"/>
    <x v="0"/>
    <x v="9"/>
    <x v="1"/>
    <x v="7"/>
    <x v="219"/>
    <x v="0"/>
    <x v="14"/>
    <x v="0"/>
    <n v="118470"/>
  </r>
  <r>
    <s v="CSKU19235_3ES"/>
    <x v="2"/>
    <x v="0"/>
    <x v="1"/>
    <x v="2"/>
    <x v="4"/>
    <x v="7"/>
    <x v="219"/>
    <x v="1"/>
    <x v="14"/>
    <x v="0"/>
    <n v="99630"/>
  </r>
  <r>
    <s v="CSKU19270_3ES"/>
    <x v="2"/>
    <x v="0"/>
    <x v="0"/>
    <x v="9"/>
    <x v="1"/>
    <x v="7"/>
    <x v="305"/>
    <x v="0"/>
    <x v="14"/>
    <x v="0"/>
    <n v="134940"/>
  </r>
  <r>
    <s v="CSKU19196_3ES"/>
    <x v="2"/>
    <x v="0"/>
    <x v="0"/>
    <x v="2"/>
    <x v="1"/>
    <x v="7"/>
    <x v="218"/>
    <x v="0"/>
    <x v="14"/>
    <x v="0"/>
    <n v="109600"/>
  </r>
  <r>
    <s v="CSKU19197_3ES"/>
    <x v="2"/>
    <x v="0"/>
    <x v="0"/>
    <x v="8"/>
    <x v="1"/>
    <x v="7"/>
    <x v="218"/>
    <x v="0"/>
    <x v="14"/>
    <x v="0"/>
    <n v="113160"/>
  </r>
  <r>
    <s v="CSKU19198_3ES"/>
    <x v="2"/>
    <x v="0"/>
    <x v="0"/>
    <x v="9"/>
    <x v="1"/>
    <x v="7"/>
    <x v="218"/>
    <x v="0"/>
    <x v="14"/>
    <x v="0"/>
    <n v="118470"/>
  </r>
  <r>
    <s v="CSKU19199_3ES"/>
    <x v="2"/>
    <x v="0"/>
    <x v="1"/>
    <x v="2"/>
    <x v="4"/>
    <x v="7"/>
    <x v="218"/>
    <x v="1"/>
    <x v="14"/>
    <x v="0"/>
    <n v="99630"/>
  </r>
  <r>
    <s v="CSKU19200_3ES"/>
    <x v="2"/>
    <x v="0"/>
    <x v="1"/>
    <x v="2"/>
    <x v="1"/>
    <x v="7"/>
    <x v="218"/>
    <x v="1"/>
    <x v="14"/>
    <x v="0"/>
    <n v="115780"/>
  </r>
  <r>
    <s v="CSKU19201_3ES"/>
    <x v="2"/>
    <x v="0"/>
    <x v="1"/>
    <x v="8"/>
    <x v="4"/>
    <x v="7"/>
    <x v="218"/>
    <x v="1"/>
    <x v="14"/>
    <x v="0"/>
    <n v="103610"/>
  </r>
  <r>
    <s v="CSKU19202_3ES"/>
    <x v="2"/>
    <x v="0"/>
    <x v="1"/>
    <x v="8"/>
    <x v="1"/>
    <x v="7"/>
    <x v="218"/>
    <x v="1"/>
    <x v="14"/>
    <x v="0"/>
    <n v="119750"/>
  </r>
  <r>
    <s v="CSKU19271_3ES"/>
    <x v="2"/>
    <x v="0"/>
    <x v="1"/>
    <x v="2"/>
    <x v="4"/>
    <x v="7"/>
    <x v="305"/>
    <x v="1"/>
    <x v="14"/>
    <x v="0"/>
    <n v="112530"/>
  </r>
  <r>
    <s v="CSKU19272_3ES"/>
    <x v="2"/>
    <x v="0"/>
    <x v="1"/>
    <x v="2"/>
    <x v="1"/>
    <x v="7"/>
    <x v="305"/>
    <x v="1"/>
    <x v="14"/>
    <x v="0"/>
    <n v="132250"/>
  </r>
  <r>
    <s v="CSKU19273_3ES"/>
    <x v="2"/>
    <x v="0"/>
    <x v="1"/>
    <x v="8"/>
    <x v="4"/>
    <x v="7"/>
    <x v="305"/>
    <x v="1"/>
    <x v="14"/>
    <x v="0"/>
    <n v="116510"/>
  </r>
  <r>
    <s v="CSKU19274_3ES"/>
    <x v="2"/>
    <x v="0"/>
    <x v="1"/>
    <x v="8"/>
    <x v="1"/>
    <x v="7"/>
    <x v="305"/>
    <x v="1"/>
    <x v="14"/>
    <x v="0"/>
    <n v="136220"/>
  </r>
  <r>
    <s v="CSKU19275_3ES"/>
    <x v="2"/>
    <x v="0"/>
    <x v="1"/>
    <x v="9"/>
    <x v="4"/>
    <x v="7"/>
    <x v="305"/>
    <x v="1"/>
    <x v="14"/>
    <x v="0"/>
    <n v="120480"/>
  </r>
  <r>
    <s v="CSKU19276_3ES"/>
    <x v="2"/>
    <x v="0"/>
    <x v="1"/>
    <x v="9"/>
    <x v="1"/>
    <x v="7"/>
    <x v="305"/>
    <x v="1"/>
    <x v="14"/>
    <x v="0"/>
    <n v="142180"/>
  </r>
  <r>
    <s v="CSKU19301_3ES"/>
    <x v="2"/>
    <x v="0"/>
    <x v="0"/>
    <x v="2"/>
    <x v="4"/>
    <x v="7"/>
    <x v="304"/>
    <x v="0"/>
    <x v="14"/>
    <x v="0"/>
    <n v="107420"/>
  </r>
  <r>
    <s v="CSKU19302_3ES"/>
    <x v="2"/>
    <x v="0"/>
    <x v="0"/>
    <x v="8"/>
    <x v="4"/>
    <x v="7"/>
    <x v="304"/>
    <x v="0"/>
    <x v="14"/>
    <x v="0"/>
    <n v="110980"/>
  </r>
  <r>
    <s v="CSKU19303_3ES"/>
    <x v="2"/>
    <x v="0"/>
    <x v="0"/>
    <x v="9"/>
    <x v="4"/>
    <x v="7"/>
    <x v="304"/>
    <x v="0"/>
    <x v="14"/>
    <x v="0"/>
    <n v="114520"/>
  </r>
  <r>
    <s v="CSKU19193_3ES"/>
    <x v="2"/>
    <x v="0"/>
    <x v="0"/>
    <x v="2"/>
    <x v="4"/>
    <x v="7"/>
    <x v="218"/>
    <x v="0"/>
    <x v="14"/>
    <x v="0"/>
    <n v="94520"/>
  </r>
  <r>
    <s v="CSKU19194_3ES"/>
    <x v="2"/>
    <x v="0"/>
    <x v="0"/>
    <x v="8"/>
    <x v="4"/>
    <x v="7"/>
    <x v="218"/>
    <x v="0"/>
    <x v="14"/>
    <x v="0"/>
    <n v="98080"/>
  </r>
  <r>
    <s v="CSKU19203_3ES"/>
    <x v="2"/>
    <x v="0"/>
    <x v="1"/>
    <x v="9"/>
    <x v="4"/>
    <x v="7"/>
    <x v="218"/>
    <x v="1"/>
    <x v="14"/>
    <x v="0"/>
    <n v="107580"/>
  </r>
  <r>
    <s v="CSKU19304_3ES"/>
    <x v="2"/>
    <x v="0"/>
    <x v="0"/>
    <x v="2"/>
    <x v="1"/>
    <x v="7"/>
    <x v="304"/>
    <x v="0"/>
    <x v="14"/>
    <x v="0"/>
    <n v="126070"/>
  </r>
  <r>
    <s v="CSKU19204_3ES"/>
    <x v="2"/>
    <x v="0"/>
    <x v="1"/>
    <x v="9"/>
    <x v="1"/>
    <x v="7"/>
    <x v="218"/>
    <x v="1"/>
    <x v="14"/>
    <x v="0"/>
    <n v="125710"/>
  </r>
  <r>
    <s v="CSKU19229_3ES"/>
    <x v="2"/>
    <x v="0"/>
    <x v="0"/>
    <x v="2"/>
    <x v="4"/>
    <x v="7"/>
    <x v="219"/>
    <x v="0"/>
    <x v="14"/>
    <x v="0"/>
    <n v="94520"/>
  </r>
  <r>
    <s v="CSKU19230_3ES"/>
    <x v="2"/>
    <x v="0"/>
    <x v="0"/>
    <x v="8"/>
    <x v="4"/>
    <x v="7"/>
    <x v="219"/>
    <x v="0"/>
    <x v="14"/>
    <x v="0"/>
    <n v="98080"/>
  </r>
  <r>
    <s v="CSKU19231_3ES"/>
    <x v="2"/>
    <x v="0"/>
    <x v="0"/>
    <x v="9"/>
    <x v="4"/>
    <x v="7"/>
    <x v="219"/>
    <x v="0"/>
    <x v="14"/>
    <x v="0"/>
    <n v="101620"/>
  </r>
  <r>
    <s v="CSKU19232_3ES"/>
    <x v="2"/>
    <x v="0"/>
    <x v="0"/>
    <x v="2"/>
    <x v="1"/>
    <x v="7"/>
    <x v="219"/>
    <x v="0"/>
    <x v="14"/>
    <x v="0"/>
    <n v="109600"/>
  </r>
  <r>
    <s v="CSKU19054_3ES"/>
    <x v="2"/>
    <x v="0"/>
    <x v="0"/>
    <x v="9"/>
    <x v="1"/>
    <x v="7"/>
    <x v="215"/>
    <x v="0"/>
    <x v="14"/>
    <x v="0"/>
    <n v="89190"/>
  </r>
  <r>
    <s v="CSKU19055_3ES"/>
    <x v="2"/>
    <x v="0"/>
    <x v="1"/>
    <x v="2"/>
    <x v="4"/>
    <x v="7"/>
    <x v="215"/>
    <x v="1"/>
    <x v="14"/>
    <x v="0"/>
    <n v="76200"/>
  </r>
  <r>
    <s v="CSKU19056_3ES"/>
    <x v="2"/>
    <x v="0"/>
    <x v="1"/>
    <x v="2"/>
    <x v="1"/>
    <x v="7"/>
    <x v="215"/>
    <x v="1"/>
    <x v="14"/>
    <x v="0"/>
    <n v="87460"/>
  </r>
  <r>
    <s v="CSKU19057_3ES"/>
    <x v="2"/>
    <x v="0"/>
    <x v="1"/>
    <x v="8"/>
    <x v="4"/>
    <x v="7"/>
    <x v="215"/>
    <x v="1"/>
    <x v="14"/>
    <x v="0"/>
    <n v="80180"/>
  </r>
  <r>
    <s v="CSKU19058_3ES"/>
    <x v="2"/>
    <x v="0"/>
    <x v="1"/>
    <x v="8"/>
    <x v="1"/>
    <x v="7"/>
    <x v="215"/>
    <x v="1"/>
    <x v="14"/>
    <x v="0"/>
    <n v="91430"/>
  </r>
  <r>
    <s v="CSKU19059_3ES"/>
    <x v="2"/>
    <x v="0"/>
    <x v="1"/>
    <x v="9"/>
    <x v="4"/>
    <x v="7"/>
    <x v="215"/>
    <x v="1"/>
    <x v="14"/>
    <x v="0"/>
    <n v="84150"/>
  </r>
  <r>
    <s v="CSKU19060_3ES"/>
    <x v="2"/>
    <x v="0"/>
    <x v="1"/>
    <x v="9"/>
    <x v="1"/>
    <x v="7"/>
    <x v="215"/>
    <x v="1"/>
    <x v="14"/>
    <x v="0"/>
    <n v="97390"/>
  </r>
  <r>
    <s v="CSKU19305_3ES"/>
    <x v="2"/>
    <x v="0"/>
    <x v="0"/>
    <x v="8"/>
    <x v="1"/>
    <x v="7"/>
    <x v="304"/>
    <x v="0"/>
    <x v="14"/>
    <x v="0"/>
    <n v="129630"/>
  </r>
  <r>
    <s v="CSKU19306_3ES"/>
    <x v="2"/>
    <x v="0"/>
    <x v="0"/>
    <x v="9"/>
    <x v="1"/>
    <x v="7"/>
    <x v="304"/>
    <x v="0"/>
    <x v="14"/>
    <x v="0"/>
    <n v="134940"/>
  </r>
  <r>
    <s v="CSKU19307_3ES"/>
    <x v="2"/>
    <x v="0"/>
    <x v="1"/>
    <x v="2"/>
    <x v="4"/>
    <x v="7"/>
    <x v="304"/>
    <x v="1"/>
    <x v="14"/>
    <x v="0"/>
    <n v="112530"/>
  </r>
  <r>
    <s v="CSKU19308_3ES"/>
    <x v="2"/>
    <x v="0"/>
    <x v="1"/>
    <x v="2"/>
    <x v="1"/>
    <x v="7"/>
    <x v="304"/>
    <x v="1"/>
    <x v="14"/>
    <x v="0"/>
    <n v="132250"/>
  </r>
  <r>
    <s v="CSKU19309_3ES"/>
    <x v="2"/>
    <x v="0"/>
    <x v="1"/>
    <x v="8"/>
    <x v="4"/>
    <x v="7"/>
    <x v="304"/>
    <x v="1"/>
    <x v="14"/>
    <x v="0"/>
    <n v="116510"/>
  </r>
  <r>
    <s v="CSKU19310_3ES"/>
    <x v="2"/>
    <x v="0"/>
    <x v="1"/>
    <x v="8"/>
    <x v="1"/>
    <x v="7"/>
    <x v="304"/>
    <x v="1"/>
    <x v="14"/>
    <x v="0"/>
    <n v="136220"/>
  </r>
  <r>
    <s v="CSKU19093_3ES"/>
    <x v="2"/>
    <x v="0"/>
    <x v="1"/>
    <x v="8"/>
    <x v="4"/>
    <x v="7"/>
    <x v="312"/>
    <x v="1"/>
    <x v="14"/>
    <x v="0"/>
    <n v="116510"/>
  </r>
  <r>
    <s v="CSKU19094_3ES"/>
    <x v="2"/>
    <x v="0"/>
    <x v="1"/>
    <x v="8"/>
    <x v="1"/>
    <x v="7"/>
    <x v="312"/>
    <x v="1"/>
    <x v="14"/>
    <x v="0"/>
    <n v="136220"/>
  </r>
  <r>
    <s v="CSKU19095_3ES"/>
    <x v="2"/>
    <x v="0"/>
    <x v="1"/>
    <x v="9"/>
    <x v="4"/>
    <x v="7"/>
    <x v="312"/>
    <x v="1"/>
    <x v="14"/>
    <x v="0"/>
    <n v="120480"/>
  </r>
  <r>
    <s v="CSKU19096_3ES"/>
    <x v="2"/>
    <x v="0"/>
    <x v="1"/>
    <x v="9"/>
    <x v="1"/>
    <x v="7"/>
    <x v="312"/>
    <x v="1"/>
    <x v="14"/>
    <x v="0"/>
    <n v="142180"/>
  </r>
  <r>
    <s v="CSKU19121_3ES"/>
    <x v="2"/>
    <x v="0"/>
    <x v="0"/>
    <x v="2"/>
    <x v="4"/>
    <x v="7"/>
    <x v="216"/>
    <x v="0"/>
    <x v="14"/>
    <x v="0"/>
    <n v="94520"/>
  </r>
  <r>
    <s v="CSKU19122_3ES"/>
    <x v="2"/>
    <x v="0"/>
    <x v="0"/>
    <x v="8"/>
    <x v="4"/>
    <x v="7"/>
    <x v="216"/>
    <x v="0"/>
    <x v="14"/>
    <x v="0"/>
    <n v="98080"/>
  </r>
  <r>
    <s v="CSKU19130_3ES"/>
    <x v="2"/>
    <x v="0"/>
    <x v="1"/>
    <x v="8"/>
    <x v="1"/>
    <x v="7"/>
    <x v="216"/>
    <x v="1"/>
    <x v="14"/>
    <x v="0"/>
    <n v="119750"/>
  </r>
  <r>
    <s v="CSKU19131_3ES"/>
    <x v="2"/>
    <x v="0"/>
    <x v="1"/>
    <x v="9"/>
    <x v="4"/>
    <x v="7"/>
    <x v="216"/>
    <x v="1"/>
    <x v="14"/>
    <x v="0"/>
    <n v="107580"/>
  </r>
  <r>
    <s v="CSKU19132_3ES"/>
    <x v="2"/>
    <x v="0"/>
    <x v="1"/>
    <x v="9"/>
    <x v="1"/>
    <x v="7"/>
    <x v="216"/>
    <x v="1"/>
    <x v="14"/>
    <x v="0"/>
    <n v="125710"/>
  </r>
  <r>
    <s v="CSKU19124_3ES"/>
    <x v="2"/>
    <x v="0"/>
    <x v="0"/>
    <x v="2"/>
    <x v="1"/>
    <x v="7"/>
    <x v="216"/>
    <x v="0"/>
    <x v="14"/>
    <x v="0"/>
    <n v="109600"/>
  </r>
  <r>
    <s v="CSKU19125_3ES"/>
    <x v="2"/>
    <x v="0"/>
    <x v="0"/>
    <x v="8"/>
    <x v="1"/>
    <x v="7"/>
    <x v="216"/>
    <x v="0"/>
    <x v="14"/>
    <x v="0"/>
    <n v="113160"/>
  </r>
  <r>
    <s v="CSKU19126_3ES"/>
    <x v="2"/>
    <x v="0"/>
    <x v="0"/>
    <x v="9"/>
    <x v="1"/>
    <x v="7"/>
    <x v="216"/>
    <x v="0"/>
    <x v="14"/>
    <x v="0"/>
    <n v="118470"/>
  </r>
  <r>
    <s v="CSKU19127_3ES"/>
    <x v="2"/>
    <x v="0"/>
    <x v="1"/>
    <x v="2"/>
    <x v="4"/>
    <x v="7"/>
    <x v="216"/>
    <x v="1"/>
    <x v="14"/>
    <x v="0"/>
    <n v="99630"/>
  </r>
  <r>
    <s v="CSKU19128_3ES"/>
    <x v="2"/>
    <x v="0"/>
    <x v="1"/>
    <x v="2"/>
    <x v="1"/>
    <x v="7"/>
    <x v="216"/>
    <x v="1"/>
    <x v="14"/>
    <x v="0"/>
    <n v="115780"/>
  </r>
  <r>
    <s v="CSKU19129_3ES"/>
    <x v="2"/>
    <x v="0"/>
    <x v="1"/>
    <x v="8"/>
    <x v="4"/>
    <x v="7"/>
    <x v="216"/>
    <x v="1"/>
    <x v="14"/>
    <x v="0"/>
    <n v="103610"/>
  </r>
  <r>
    <s v="CSKU19157_3ES"/>
    <x v="2"/>
    <x v="0"/>
    <x v="0"/>
    <x v="2"/>
    <x v="4"/>
    <x v="7"/>
    <x v="217"/>
    <x v="0"/>
    <x v="14"/>
    <x v="0"/>
    <n v="94520"/>
  </r>
  <r>
    <s v="CSKU19158_3ES"/>
    <x v="2"/>
    <x v="0"/>
    <x v="0"/>
    <x v="8"/>
    <x v="4"/>
    <x v="7"/>
    <x v="217"/>
    <x v="0"/>
    <x v="14"/>
    <x v="0"/>
    <n v="98080"/>
  </r>
  <r>
    <s v="CSKU19159_3ES"/>
    <x v="2"/>
    <x v="0"/>
    <x v="0"/>
    <x v="9"/>
    <x v="4"/>
    <x v="7"/>
    <x v="217"/>
    <x v="0"/>
    <x v="14"/>
    <x v="0"/>
    <n v="101620"/>
  </r>
  <r>
    <s v="CSKU19160_3ES"/>
    <x v="2"/>
    <x v="0"/>
    <x v="0"/>
    <x v="2"/>
    <x v="1"/>
    <x v="7"/>
    <x v="217"/>
    <x v="0"/>
    <x v="14"/>
    <x v="0"/>
    <n v="109600"/>
  </r>
  <r>
    <s v="CSKU19161_3ES"/>
    <x v="2"/>
    <x v="0"/>
    <x v="0"/>
    <x v="8"/>
    <x v="1"/>
    <x v="7"/>
    <x v="217"/>
    <x v="0"/>
    <x v="14"/>
    <x v="0"/>
    <n v="113160"/>
  </r>
  <r>
    <s v="CSKU19162_3ES"/>
    <x v="2"/>
    <x v="0"/>
    <x v="0"/>
    <x v="9"/>
    <x v="1"/>
    <x v="7"/>
    <x v="217"/>
    <x v="0"/>
    <x v="14"/>
    <x v="0"/>
    <n v="118470"/>
  </r>
  <r>
    <s v="CSKU18875_3ES"/>
    <x v="2"/>
    <x v="0"/>
    <x v="1"/>
    <x v="2"/>
    <x v="4"/>
    <x v="7"/>
    <x v="211"/>
    <x v="1"/>
    <x v="14"/>
    <x v="0"/>
    <n v="72690"/>
  </r>
  <r>
    <s v="CSKU18876_3ES"/>
    <x v="2"/>
    <x v="0"/>
    <x v="1"/>
    <x v="2"/>
    <x v="1"/>
    <x v="7"/>
    <x v="211"/>
    <x v="1"/>
    <x v="14"/>
    <x v="0"/>
    <n v="83530"/>
  </r>
  <r>
    <s v="CSKU18877_3ES"/>
    <x v="2"/>
    <x v="0"/>
    <x v="1"/>
    <x v="8"/>
    <x v="4"/>
    <x v="7"/>
    <x v="211"/>
    <x v="1"/>
    <x v="14"/>
    <x v="0"/>
    <n v="76670"/>
  </r>
  <r>
    <s v="CSKU18878_3ES"/>
    <x v="2"/>
    <x v="0"/>
    <x v="1"/>
    <x v="8"/>
    <x v="1"/>
    <x v="7"/>
    <x v="211"/>
    <x v="1"/>
    <x v="14"/>
    <x v="0"/>
    <n v="87500"/>
  </r>
  <r>
    <s v="CSKU18879_3ES"/>
    <x v="2"/>
    <x v="0"/>
    <x v="1"/>
    <x v="9"/>
    <x v="4"/>
    <x v="7"/>
    <x v="211"/>
    <x v="1"/>
    <x v="14"/>
    <x v="0"/>
    <n v="80640"/>
  </r>
  <r>
    <s v="CSKU18880_3ES"/>
    <x v="2"/>
    <x v="0"/>
    <x v="1"/>
    <x v="9"/>
    <x v="1"/>
    <x v="7"/>
    <x v="211"/>
    <x v="1"/>
    <x v="14"/>
    <x v="0"/>
    <n v="93460"/>
  </r>
  <r>
    <s v="CSKU18910_3ES"/>
    <x v="2"/>
    <x v="0"/>
    <x v="0"/>
    <x v="9"/>
    <x v="1"/>
    <x v="7"/>
    <x v="212"/>
    <x v="0"/>
    <x v="14"/>
    <x v="0"/>
    <n v="105660"/>
  </r>
  <r>
    <s v="CSKU18911_3ES"/>
    <x v="2"/>
    <x v="0"/>
    <x v="1"/>
    <x v="2"/>
    <x v="4"/>
    <x v="7"/>
    <x v="212"/>
    <x v="1"/>
    <x v="14"/>
    <x v="0"/>
    <n v="89100"/>
  </r>
  <r>
    <s v="CSKU18912_3ES"/>
    <x v="2"/>
    <x v="0"/>
    <x v="1"/>
    <x v="2"/>
    <x v="1"/>
    <x v="7"/>
    <x v="212"/>
    <x v="1"/>
    <x v="14"/>
    <x v="0"/>
    <n v="103930"/>
  </r>
  <r>
    <s v="CSKU18913_3ES"/>
    <x v="2"/>
    <x v="0"/>
    <x v="1"/>
    <x v="8"/>
    <x v="4"/>
    <x v="7"/>
    <x v="212"/>
    <x v="1"/>
    <x v="14"/>
    <x v="0"/>
    <n v="93080"/>
  </r>
  <r>
    <s v="CSKU18914_3ES"/>
    <x v="2"/>
    <x v="0"/>
    <x v="1"/>
    <x v="8"/>
    <x v="1"/>
    <x v="7"/>
    <x v="212"/>
    <x v="1"/>
    <x v="14"/>
    <x v="0"/>
    <n v="107900"/>
  </r>
  <r>
    <s v="CSKU18915_3ES"/>
    <x v="2"/>
    <x v="0"/>
    <x v="1"/>
    <x v="9"/>
    <x v="4"/>
    <x v="7"/>
    <x v="212"/>
    <x v="1"/>
    <x v="14"/>
    <x v="0"/>
    <n v="97050"/>
  </r>
  <r>
    <s v="CSKU18916_3ES"/>
    <x v="2"/>
    <x v="0"/>
    <x v="1"/>
    <x v="9"/>
    <x v="1"/>
    <x v="7"/>
    <x v="212"/>
    <x v="1"/>
    <x v="14"/>
    <x v="0"/>
    <n v="113860"/>
  </r>
  <r>
    <s v="CSKU18977_3ES"/>
    <x v="2"/>
    <x v="0"/>
    <x v="0"/>
    <x v="2"/>
    <x v="4"/>
    <x v="7"/>
    <x v="313"/>
    <x v="0"/>
    <x v="14"/>
    <x v="0"/>
    <n v="83030"/>
  </r>
  <r>
    <s v="CSKU18952_3ES"/>
    <x v="2"/>
    <x v="0"/>
    <x v="1"/>
    <x v="9"/>
    <x v="1"/>
    <x v="7"/>
    <x v="213"/>
    <x v="1"/>
    <x v="14"/>
    <x v="0"/>
    <n v="113860"/>
  </r>
  <r>
    <s v="CSKU18986_3ES"/>
    <x v="2"/>
    <x v="0"/>
    <x v="1"/>
    <x v="8"/>
    <x v="1"/>
    <x v="7"/>
    <x v="313"/>
    <x v="1"/>
    <x v="14"/>
    <x v="0"/>
    <n v="107900"/>
  </r>
  <r>
    <s v="CSKU18987_3ES"/>
    <x v="2"/>
    <x v="0"/>
    <x v="1"/>
    <x v="9"/>
    <x v="4"/>
    <x v="7"/>
    <x v="313"/>
    <x v="1"/>
    <x v="14"/>
    <x v="0"/>
    <n v="97050"/>
  </r>
  <r>
    <s v="CSKU18988_3ES"/>
    <x v="2"/>
    <x v="0"/>
    <x v="1"/>
    <x v="9"/>
    <x v="1"/>
    <x v="7"/>
    <x v="313"/>
    <x v="1"/>
    <x v="14"/>
    <x v="0"/>
    <n v="113860"/>
  </r>
  <r>
    <s v="CSKU18949_3ES"/>
    <x v="2"/>
    <x v="0"/>
    <x v="1"/>
    <x v="8"/>
    <x v="4"/>
    <x v="7"/>
    <x v="213"/>
    <x v="1"/>
    <x v="14"/>
    <x v="0"/>
    <n v="93080"/>
  </r>
  <r>
    <s v="CSKU18950_3ES"/>
    <x v="2"/>
    <x v="0"/>
    <x v="1"/>
    <x v="8"/>
    <x v="1"/>
    <x v="7"/>
    <x v="213"/>
    <x v="1"/>
    <x v="14"/>
    <x v="0"/>
    <n v="107900"/>
  </r>
  <r>
    <s v="CSKU18978_3ES"/>
    <x v="2"/>
    <x v="0"/>
    <x v="0"/>
    <x v="8"/>
    <x v="4"/>
    <x v="7"/>
    <x v="313"/>
    <x v="0"/>
    <x v="14"/>
    <x v="0"/>
    <n v="86590"/>
  </r>
  <r>
    <s v="CSKU19085_3ES"/>
    <x v="2"/>
    <x v="0"/>
    <x v="0"/>
    <x v="2"/>
    <x v="4"/>
    <x v="7"/>
    <x v="312"/>
    <x v="0"/>
    <x v="14"/>
    <x v="0"/>
    <n v="107420"/>
  </r>
  <r>
    <s v="CSKU18979_3ES"/>
    <x v="2"/>
    <x v="0"/>
    <x v="0"/>
    <x v="9"/>
    <x v="4"/>
    <x v="7"/>
    <x v="313"/>
    <x v="0"/>
    <x v="14"/>
    <x v="0"/>
    <n v="90130"/>
  </r>
  <r>
    <s v="CSKU18980_3ES"/>
    <x v="2"/>
    <x v="0"/>
    <x v="0"/>
    <x v="2"/>
    <x v="1"/>
    <x v="7"/>
    <x v="313"/>
    <x v="0"/>
    <x v="14"/>
    <x v="0"/>
    <n v="96790"/>
  </r>
  <r>
    <s v="CSKU18981_3ES"/>
    <x v="2"/>
    <x v="0"/>
    <x v="0"/>
    <x v="8"/>
    <x v="1"/>
    <x v="7"/>
    <x v="313"/>
    <x v="0"/>
    <x v="14"/>
    <x v="0"/>
    <n v="100350"/>
  </r>
  <r>
    <s v="CSKU18982_3ES"/>
    <x v="2"/>
    <x v="0"/>
    <x v="0"/>
    <x v="9"/>
    <x v="1"/>
    <x v="7"/>
    <x v="313"/>
    <x v="0"/>
    <x v="14"/>
    <x v="0"/>
    <n v="105660"/>
  </r>
  <r>
    <s v="CSKU18983_3ES"/>
    <x v="2"/>
    <x v="0"/>
    <x v="1"/>
    <x v="2"/>
    <x v="4"/>
    <x v="7"/>
    <x v="313"/>
    <x v="1"/>
    <x v="14"/>
    <x v="0"/>
    <n v="89100"/>
  </r>
  <r>
    <s v="CSKU18984_3ES"/>
    <x v="2"/>
    <x v="0"/>
    <x v="1"/>
    <x v="2"/>
    <x v="1"/>
    <x v="7"/>
    <x v="313"/>
    <x v="1"/>
    <x v="14"/>
    <x v="0"/>
    <n v="103930"/>
  </r>
  <r>
    <s v="CSKU18985_3ES"/>
    <x v="2"/>
    <x v="0"/>
    <x v="1"/>
    <x v="8"/>
    <x v="4"/>
    <x v="7"/>
    <x v="313"/>
    <x v="1"/>
    <x v="14"/>
    <x v="0"/>
    <n v="93080"/>
  </r>
  <r>
    <s v="CSKU19013_3ES"/>
    <x v="2"/>
    <x v="0"/>
    <x v="0"/>
    <x v="2"/>
    <x v="4"/>
    <x v="7"/>
    <x v="214"/>
    <x v="0"/>
    <x v="14"/>
    <x v="0"/>
    <n v="83030"/>
  </r>
  <r>
    <s v="CSKU19014_3ES"/>
    <x v="2"/>
    <x v="0"/>
    <x v="0"/>
    <x v="8"/>
    <x v="4"/>
    <x v="7"/>
    <x v="214"/>
    <x v="0"/>
    <x v="14"/>
    <x v="0"/>
    <n v="86590"/>
  </r>
  <r>
    <s v="CSKU19015_3ES"/>
    <x v="2"/>
    <x v="0"/>
    <x v="0"/>
    <x v="9"/>
    <x v="4"/>
    <x v="7"/>
    <x v="214"/>
    <x v="0"/>
    <x v="14"/>
    <x v="0"/>
    <n v="90130"/>
  </r>
  <r>
    <s v="CSKU19016_3ES"/>
    <x v="2"/>
    <x v="0"/>
    <x v="0"/>
    <x v="2"/>
    <x v="1"/>
    <x v="7"/>
    <x v="214"/>
    <x v="0"/>
    <x v="14"/>
    <x v="0"/>
    <n v="96790"/>
  </r>
  <r>
    <s v="CSKU19017_3ES"/>
    <x v="2"/>
    <x v="0"/>
    <x v="0"/>
    <x v="8"/>
    <x v="1"/>
    <x v="7"/>
    <x v="214"/>
    <x v="0"/>
    <x v="14"/>
    <x v="0"/>
    <n v="100350"/>
  </r>
  <r>
    <s v="CSKU19018_3ES"/>
    <x v="2"/>
    <x v="0"/>
    <x v="0"/>
    <x v="9"/>
    <x v="1"/>
    <x v="7"/>
    <x v="214"/>
    <x v="0"/>
    <x v="14"/>
    <x v="0"/>
    <n v="105660"/>
  </r>
  <r>
    <s v="CSKU19019_3ES"/>
    <x v="2"/>
    <x v="0"/>
    <x v="1"/>
    <x v="2"/>
    <x v="4"/>
    <x v="7"/>
    <x v="214"/>
    <x v="1"/>
    <x v="14"/>
    <x v="0"/>
    <n v="89100"/>
  </r>
  <r>
    <s v="CSKU19020_3ES"/>
    <x v="2"/>
    <x v="0"/>
    <x v="1"/>
    <x v="2"/>
    <x v="1"/>
    <x v="7"/>
    <x v="214"/>
    <x v="1"/>
    <x v="14"/>
    <x v="0"/>
    <n v="103930"/>
  </r>
  <r>
    <s v="CSKU19021_3ES"/>
    <x v="2"/>
    <x v="0"/>
    <x v="1"/>
    <x v="8"/>
    <x v="4"/>
    <x v="7"/>
    <x v="214"/>
    <x v="1"/>
    <x v="14"/>
    <x v="0"/>
    <n v="93080"/>
  </r>
  <r>
    <s v="CSKU19022_3ES"/>
    <x v="2"/>
    <x v="0"/>
    <x v="1"/>
    <x v="8"/>
    <x v="1"/>
    <x v="7"/>
    <x v="214"/>
    <x v="1"/>
    <x v="14"/>
    <x v="0"/>
    <n v="107900"/>
  </r>
  <r>
    <s v="CSKU19023_3ES"/>
    <x v="2"/>
    <x v="0"/>
    <x v="1"/>
    <x v="9"/>
    <x v="4"/>
    <x v="7"/>
    <x v="214"/>
    <x v="1"/>
    <x v="14"/>
    <x v="0"/>
    <n v="97050"/>
  </r>
  <r>
    <s v="CSKU19086_3ES"/>
    <x v="2"/>
    <x v="0"/>
    <x v="0"/>
    <x v="2"/>
    <x v="1"/>
    <x v="7"/>
    <x v="312"/>
    <x v="0"/>
    <x v="14"/>
    <x v="0"/>
    <n v="126070"/>
  </r>
  <r>
    <s v="CSKU19087_3ES"/>
    <x v="2"/>
    <x v="0"/>
    <x v="0"/>
    <x v="8"/>
    <x v="4"/>
    <x v="7"/>
    <x v="312"/>
    <x v="0"/>
    <x v="14"/>
    <x v="0"/>
    <n v="110980"/>
  </r>
  <r>
    <s v="CSKU19088_3ES"/>
    <x v="2"/>
    <x v="0"/>
    <x v="0"/>
    <x v="8"/>
    <x v="1"/>
    <x v="7"/>
    <x v="312"/>
    <x v="0"/>
    <x v="14"/>
    <x v="0"/>
    <n v="129630"/>
  </r>
  <r>
    <s v="CSKU19089_3ES"/>
    <x v="2"/>
    <x v="0"/>
    <x v="0"/>
    <x v="9"/>
    <x v="4"/>
    <x v="7"/>
    <x v="312"/>
    <x v="0"/>
    <x v="14"/>
    <x v="0"/>
    <n v="114520"/>
  </r>
  <r>
    <s v="CSKU19090_3ES"/>
    <x v="2"/>
    <x v="0"/>
    <x v="0"/>
    <x v="9"/>
    <x v="1"/>
    <x v="7"/>
    <x v="312"/>
    <x v="0"/>
    <x v="14"/>
    <x v="0"/>
    <n v="134940"/>
  </r>
  <r>
    <s v="CSKU19091_3ES"/>
    <x v="2"/>
    <x v="0"/>
    <x v="1"/>
    <x v="2"/>
    <x v="4"/>
    <x v="7"/>
    <x v="312"/>
    <x v="1"/>
    <x v="14"/>
    <x v="0"/>
    <n v="112530"/>
  </r>
  <r>
    <s v="CSKU19092_3ES"/>
    <x v="2"/>
    <x v="0"/>
    <x v="1"/>
    <x v="2"/>
    <x v="1"/>
    <x v="7"/>
    <x v="312"/>
    <x v="1"/>
    <x v="14"/>
    <x v="0"/>
    <n v="132250"/>
  </r>
  <r>
    <s v="CSKU18843_3ES"/>
    <x v="2"/>
    <x v="0"/>
    <x v="1"/>
    <x v="9"/>
    <x v="4"/>
    <x v="7"/>
    <x v="210"/>
    <x v="1"/>
    <x v="14"/>
    <x v="0"/>
    <n v="84150"/>
  </r>
  <r>
    <s v="CSKU18844_3ES"/>
    <x v="2"/>
    <x v="0"/>
    <x v="1"/>
    <x v="9"/>
    <x v="1"/>
    <x v="7"/>
    <x v="210"/>
    <x v="1"/>
    <x v="14"/>
    <x v="0"/>
    <n v="97390"/>
  </r>
  <r>
    <s v="CSKU18869_3ES"/>
    <x v="2"/>
    <x v="0"/>
    <x v="0"/>
    <x v="2"/>
    <x v="4"/>
    <x v="7"/>
    <x v="211"/>
    <x v="0"/>
    <x v="14"/>
    <x v="0"/>
    <n v="66620"/>
  </r>
  <r>
    <s v="CSKU18870_3ES"/>
    <x v="2"/>
    <x v="0"/>
    <x v="0"/>
    <x v="8"/>
    <x v="4"/>
    <x v="7"/>
    <x v="211"/>
    <x v="0"/>
    <x v="14"/>
    <x v="0"/>
    <n v="70180"/>
  </r>
  <r>
    <s v="CSKU18871_3ES"/>
    <x v="2"/>
    <x v="0"/>
    <x v="0"/>
    <x v="9"/>
    <x v="4"/>
    <x v="7"/>
    <x v="211"/>
    <x v="0"/>
    <x v="14"/>
    <x v="0"/>
    <n v="73720"/>
  </r>
  <r>
    <s v="CSKU18872_3ES"/>
    <x v="2"/>
    <x v="0"/>
    <x v="0"/>
    <x v="2"/>
    <x v="1"/>
    <x v="7"/>
    <x v="211"/>
    <x v="0"/>
    <x v="14"/>
    <x v="0"/>
    <n v="76390"/>
  </r>
  <r>
    <s v="CSKU18873_3ES"/>
    <x v="2"/>
    <x v="0"/>
    <x v="0"/>
    <x v="8"/>
    <x v="1"/>
    <x v="7"/>
    <x v="211"/>
    <x v="0"/>
    <x v="14"/>
    <x v="0"/>
    <n v="79950"/>
  </r>
  <r>
    <s v="CSKU19049_3ES"/>
    <x v="2"/>
    <x v="0"/>
    <x v="0"/>
    <x v="2"/>
    <x v="4"/>
    <x v="7"/>
    <x v="215"/>
    <x v="0"/>
    <x v="14"/>
    <x v="0"/>
    <n v="70130"/>
  </r>
  <r>
    <s v="CSKU19050_3ES"/>
    <x v="2"/>
    <x v="0"/>
    <x v="0"/>
    <x v="8"/>
    <x v="4"/>
    <x v="7"/>
    <x v="215"/>
    <x v="0"/>
    <x v="14"/>
    <x v="0"/>
    <n v="73690"/>
  </r>
  <r>
    <s v="CSKU19051_3ES"/>
    <x v="2"/>
    <x v="0"/>
    <x v="0"/>
    <x v="9"/>
    <x v="4"/>
    <x v="7"/>
    <x v="215"/>
    <x v="0"/>
    <x v="14"/>
    <x v="0"/>
    <n v="77230"/>
  </r>
  <r>
    <s v="CSKU19052_3ES"/>
    <x v="2"/>
    <x v="0"/>
    <x v="0"/>
    <x v="2"/>
    <x v="1"/>
    <x v="7"/>
    <x v="215"/>
    <x v="0"/>
    <x v="14"/>
    <x v="0"/>
    <n v="80320"/>
  </r>
  <r>
    <s v="CSKU18905_3ES"/>
    <x v="2"/>
    <x v="0"/>
    <x v="0"/>
    <x v="2"/>
    <x v="4"/>
    <x v="7"/>
    <x v="212"/>
    <x v="0"/>
    <x v="14"/>
    <x v="0"/>
    <n v="83030"/>
  </r>
  <r>
    <s v="CSKU18906_3ES"/>
    <x v="2"/>
    <x v="0"/>
    <x v="0"/>
    <x v="8"/>
    <x v="4"/>
    <x v="7"/>
    <x v="212"/>
    <x v="0"/>
    <x v="14"/>
    <x v="0"/>
    <n v="86590"/>
  </r>
  <r>
    <s v="CSKU18907_3ES"/>
    <x v="2"/>
    <x v="0"/>
    <x v="0"/>
    <x v="9"/>
    <x v="4"/>
    <x v="7"/>
    <x v="212"/>
    <x v="0"/>
    <x v="14"/>
    <x v="0"/>
    <n v="90130"/>
  </r>
  <r>
    <s v="CSKU18908_3ES"/>
    <x v="2"/>
    <x v="0"/>
    <x v="0"/>
    <x v="2"/>
    <x v="1"/>
    <x v="7"/>
    <x v="212"/>
    <x v="0"/>
    <x v="14"/>
    <x v="0"/>
    <n v="96790"/>
  </r>
  <r>
    <s v="CSKU19164_3ES"/>
    <x v="2"/>
    <x v="0"/>
    <x v="1"/>
    <x v="2"/>
    <x v="1"/>
    <x v="7"/>
    <x v="217"/>
    <x v="1"/>
    <x v="14"/>
    <x v="0"/>
    <n v="115780"/>
  </r>
  <r>
    <s v="CSKU19165_3ES"/>
    <x v="2"/>
    <x v="0"/>
    <x v="1"/>
    <x v="8"/>
    <x v="4"/>
    <x v="7"/>
    <x v="217"/>
    <x v="1"/>
    <x v="14"/>
    <x v="0"/>
    <n v="103610"/>
  </r>
  <r>
    <s v="CSKU19166_3ES"/>
    <x v="2"/>
    <x v="0"/>
    <x v="1"/>
    <x v="8"/>
    <x v="1"/>
    <x v="7"/>
    <x v="217"/>
    <x v="1"/>
    <x v="14"/>
    <x v="0"/>
    <n v="119750"/>
  </r>
  <r>
    <s v="CSKU19167_3ES"/>
    <x v="2"/>
    <x v="0"/>
    <x v="1"/>
    <x v="9"/>
    <x v="4"/>
    <x v="7"/>
    <x v="217"/>
    <x v="1"/>
    <x v="14"/>
    <x v="0"/>
    <n v="107580"/>
  </r>
  <r>
    <s v="CSKU19168_3ES"/>
    <x v="2"/>
    <x v="0"/>
    <x v="1"/>
    <x v="9"/>
    <x v="1"/>
    <x v="7"/>
    <x v="217"/>
    <x v="1"/>
    <x v="14"/>
    <x v="0"/>
    <n v="125710"/>
  </r>
  <r>
    <s v="CSKU18942_3ES"/>
    <x v="2"/>
    <x v="0"/>
    <x v="0"/>
    <x v="8"/>
    <x v="4"/>
    <x v="7"/>
    <x v="213"/>
    <x v="0"/>
    <x v="14"/>
    <x v="0"/>
    <n v="86590"/>
  </r>
  <r>
    <s v="CSKU18943_3ES"/>
    <x v="2"/>
    <x v="0"/>
    <x v="0"/>
    <x v="9"/>
    <x v="4"/>
    <x v="7"/>
    <x v="213"/>
    <x v="0"/>
    <x v="14"/>
    <x v="0"/>
    <n v="90130"/>
  </r>
  <r>
    <s v="CSKU18944_3ES"/>
    <x v="2"/>
    <x v="0"/>
    <x v="0"/>
    <x v="2"/>
    <x v="1"/>
    <x v="7"/>
    <x v="213"/>
    <x v="0"/>
    <x v="14"/>
    <x v="0"/>
    <n v="96790"/>
  </r>
  <r>
    <s v="CSKU18945_3ES"/>
    <x v="2"/>
    <x v="0"/>
    <x v="0"/>
    <x v="8"/>
    <x v="1"/>
    <x v="7"/>
    <x v="213"/>
    <x v="0"/>
    <x v="14"/>
    <x v="0"/>
    <n v="100350"/>
  </r>
  <r>
    <s v="CSKU18946_3ES"/>
    <x v="2"/>
    <x v="0"/>
    <x v="0"/>
    <x v="9"/>
    <x v="1"/>
    <x v="7"/>
    <x v="213"/>
    <x v="0"/>
    <x v="14"/>
    <x v="0"/>
    <n v="105660"/>
  </r>
  <r>
    <s v="CSKU18947_3ES"/>
    <x v="2"/>
    <x v="0"/>
    <x v="1"/>
    <x v="2"/>
    <x v="4"/>
    <x v="7"/>
    <x v="213"/>
    <x v="1"/>
    <x v="14"/>
    <x v="0"/>
    <n v="89100"/>
  </r>
  <r>
    <s v="CSKU18948_3ES"/>
    <x v="2"/>
    <x v="0"/>
    <x v="1"/>
    <x v="2"/>
    <x v="1"/>
    <x v="7"/>
    <x v="213"/>
    <x v="1"/>
    <x v="14"/>
    <x v="0"/>
    <n v="103930"/>
  </r>
  <r>
    <s v="CSKU18941_3ES"/>
    <x v="2"/>
    <x v="0"/>
    <x v="0"/>
    <x v="2"/>
    <x v="4"/>
    <x v="7"/>
    <x v="213"/>
    <x v="0"/>
    <x v="14"/>
    <x v="0"/>
    <n v="83030"/>
  </r>
  <r>
    <s v="CSKU18689_3ES"/>
    <x v="2"/>
    <x v="0"/>
    <x v="0"/>
    <x v="2"/>
    <x v="4"/>
    <x v="7"/>
    <x v="314"/>
    <x v="0"/>
    <x v="14"/>
    <x v="0"/>
    <n v="91010"/>
  </r>
  <r>
    <s v="CSKU18690_3ES"/>
    <x v="2"/>
    <x v="0"/>
    <x v="0"/>
    <x v="8"/>
    <x v="4"/>
    <x v="7"/>
    <x v="314"/>
    <x v="0"/>
    <x v="14"/>
    <x v="0"/>
    <n v="94570"/>
  </r>
  <r>
    <s v="CSKU18691_3ES"/>
    <x v="2"/>
    <x v="0"/>
    <x v="0"/>
    <x v="9"/>
    <x v="4"/>
    <x v="7"/>
    <x v="314"/>
    <x v="0"/>
    <x v="14"/>
    <x v="0"/>
    <n v="98110"/>
  </r>
  <r>
    <s v="CSKU18692_3ES"/>
    <x v="2"/>
    <x v="0"/>
    <x v="0"/>
    <x v="2"/>
    <x v="1"/>
    <x v="7"/>
    <x v="314"/>
    <x v="0"/>
    <x v="14"/>
    <x v="0"/>
    <n v="105670"/>
  </r>
  <r>
    <s v="CSKU18661_3ES"/>
    <x v="2"/>
    <x v="0"/>
    <x v="1"/>
    <x v="8"/>
    <x v="4"/>
    <x v="7"/>
    <x v="208"/>
    <x v="1"/>
    <x v="14"/>
    <x v="0"/>
    <n v="100100"/>
  </r>
  <r>
    <s v="CSKU18662_3ES"/>
    <x v="2"/>
    <x v="0"/>
    <x v="1"/>
    <x v="8"/>
    <x v="1"/>
    <x v="7"/>
    <x v="208"/>
    <x v="1"/>
    <x v="14"/>
    <x v="0"/>
    <n v="115820"/>
  </r>
  <r>
    <s v="CSKU18663_3ES"/>
    <x v="2"/>
    <x v="0"/>
    <x v="1"/>
    <x v="9"/>
    <x v="4"/>
    <x v="7"/>
    <x v="208"/>
    <x v="1"/>
    <x v="14"/>
    <x v="0"/>
    <n v="104070"/>
  </r>
  <r>
    <s v="CSKU18664_3ES"/>
    <x v="2"/>
    <x v="0"/>
    <x v="1"/>
    <x v="9"/>
    <x v="1"/>
    <x v="7"/>
    <x v="208"/>
    <x v="1"/>
    <x v="14"/>
    <x v="0"/>
    <n v="121780"/>
  </r>
  <r>
    <s v="CSKU18734_3ES"/>
    <x v="2"/>
    <x v="0"/>
    <x v="1"/>
    <x v="8"/>
    <x v="1"/>
    <x v="7"/>
    <x v="209"/>
    <x v="1"/>
    <x v="14"/>
    <x v="0"/>
    <n v="115820"/>
  </r>
  <r>
    <s v="CSKU18735_3ES"/>
    <x v="2"/>
    <x v="0"/>
    <x v="1"/>
    <x v="9"/>
    <x v="4"/>
    <x v="7"/>
    <x v="209"/>
    <x v="1"/>
    <x v="14"/>
    <x v="0"/>
    <n v="104070"/>
  </r>
  <r>
    <s v="CSKU18736_3ES"/>
    <x v="2"/>
    <x v="0"/>
    <x v="1"/>
    <x v="9"/>
    <x v="1"/>
    <x v="7"/>
    <x v="209"/>
    <x v="1"/>
    <x v="14"/>
    <x v="0"/>
    <n v="121780"/>
  </r>
  <r>
    <s v="CSKU18767_3ES"/>
    <x v="2"/>
    <x v="0"/>
    <x v="1"/>
    <x v="2"/>
    <x v="4"/>
    <x v="7"/>
    <x v="315"/>
    <x v="1"/>
    <x v="14"/>
    <x v="0"/>
    <n v="83220"/>
  </r>
  <r>
    <s v="CSKU18768_3ES"/>
    <x v="2"/>
    <x v="0"/>
    <x v="1"/>
    <x v="2"/>
    <x v="1"/>
    <x v="7"/>
    <x v="315"/>
    <x v="1"/>
    <x v="14"/>
    <x v="0"/>
    <n v="95380"/>
  </r>
  <r>
    <s v="CSKU18769_3ES"/>
    <x v="2"/>
    <x v="0"/>
    <x v="1"/>
    <x v="8"/>
    <x v="4"/>
    <x v="7"/>
    <x v="315"/>
    <x v="1"/>
    <x v="14"/>
    <x v="0"/>
    <n v="87200"/>
  </r>
  <r>
    <s v="CSKU18770_3ES"/>
    <x v="2"/>
    <x v="0"/>
    <x v="1"/>
    <x v="8"/>
    <x v="1"/>
    <x v="7"/>
    <x v="315"/>
    <x v="1"/>
    <x v="14"/>
    <x v="0"/>
    <n v="99350"/>
  </r>
  <r>
    <s v="CSKU18771_3ES"/>
    <x v="2"/>
    <x v="0"/>
    <x v="1"/>
    <x v="9"/>
    <x v="4"/>
    <x v="7"/>
    <x v="315"/>
    <x v="1"/>
    <x v="14"/>
    <x v="0"/>
    <n v="91170"/>
  </r>
  <r>
    <s v="CSKU18772_3ES"/>
    <x v="2"/>
    <x v="0"/>
    <x v="1"/>
    <x v="9"/>
    <x v="1"/>
    <x v="7"/>
    <x v="315"/>
    <x v="1"/>
    <x v="14"/>
    <x v="0"/>
    <n v="105310"/>
  </r>
  <r>
    <s v="CSKU18797_3ES"/>
    <x v="2"/>
    <x v="0"/>
    <x v="0"/>
    <x v="2"/>
    <x v="4"/>
    <x v="7"/>
    <x v="316"/>
    <x v="0"/>
    <x v="14"/>
    <x v="0"/>
    <n v="83030"/>
  </r>
  <r>
    <s v="CSKU18798_3ES"/>
    <x v="2"/>
    <x v="0"/>
    <x v="0"/>
    <x v="8"/>
    <x v="4"/>
    <x v="7"/>
    <x v="316"/>
    <x v="0"/>
    <x v="14"/>
    <x v="0"/>
    <n v="86590"/>
  </r>
  <r>
    <s v="CSKU18799_3ES"/>
    <x v="2"/>
    <x v="0"/>
    <x v="0"/>
    <x v="9"/>
    <x v="4"/>
    <x v="7"/>
    <x v="316"/>
    <x v="0"/>
    <x v="14"/>
    <x v="0"/>
    <n v="90130"/>
  </r>
  <r>
    <s v="CSKU18800_3ES"/>
    <x v="2"/>
    <x v="0"/>
    <x v="0"/>
    <x v="2"/>
    <x v="1"/>
    <x v="7"/>
    <x v="316"/>
    <x v="0"/>
    <x v="14"/>
    <x v="0"/>
    <n v="96790"/>
  </r>
  <r>
    <s v="CSKU18801_3ES"/>
    <x v="2"/>
    <x v="0"/>
    <x v="0"/>
    <x v="8"/>
    <x v="1"/>
    <x v="7"/>
    <x v="316"/>
    <x v="0"/>
    <x v="14"/>
    <x v="0"/>
    <n v="100350"/>
  </r>
  <r>
    <s v="CSKU18802_3ES"/>
    <x v="2"/>
    <x v="0"/>
    <x v="0"/>
    <x v="9"/>
    <x v="1"/>
    <x v="7"/>
    <x v="316"/>
    <x v="0"/>
    <x v="14"/>
    <x v="0"/>
    <n v="105660"/>
  </r>
  <r>
    <s v="CSKU18835_3ES"/>
    <x v="2"/>
    <x v="0"/>
    <x v="0"/>
    <x v="9"/>
    <x v="4"/>
    <x v="7"/>
    <x v="210"/>
    <x v="0"/>
    <x v="14"/>
    <x v="0"/>
    <n v="77230"/>
  </r>
  <r>
    <s v="CSKU18836_3ES"/>
    <x v="2"/>
    <x v="0"/>
    <x v="0"/>
    <x v="2"/>
    <x v="1"/>
    <x v="7"/>
    <x v="210"/>
    <x v="0"/>
    <x v="14"/>
    <x v="0"/>
    <n v="80320"/>
  </r>
  <r>
    <s v="CSKU18837_3ES"/>
    <x v="2"/>
    <x v="0"/>
    <x v="0"/>
    <x v="8"/>
    <x v="1"/>
    <x v="7"/>
    <x v="210"/>
    <x v="0"/>
    <x v="14"/>
    <x v="0"/>
    <n v="83880"/>
  </r>
  <r>
    <s v="CSKU18838_3ES"/>
    <x v="2"/>
    <x v="0"/>
    <x v="0"/>
    <x v="9"/>
    <x v="1"/>
    <x v="7"/>
    <x v="210"/>
    <x v="0"/>
    <x v="14"/>
    <x v="0"/>
    <n v="89190"/>
  </r>
  <r>
    <s v="CSKU18839_3ES"/>
    <x v="2"/>
    <x v="0"/>
    <x v="1"/>
    <x v="2"/>
    <x v="4"/>
    <x v="7"/>
    <x v="210"/>
    <x v="1"/>
    <x v="14"/>
    <x v="0"/>
    <n v="76200"/>
  </r>
  <r>
    <s v="CSKU18840_3ES"/>
    <x v="2"/>
    <x v="0"/>
    <x v="1"/>
    <x v="2"/>
    <x v="1"/>
    <x v="7"/>
    <x v="210"/>
    <x v="1"/>
    <x v="14"/>
    <x v="0"/>
    <n v="87460"/>
  </r>
  <r>
    <s v="CSKU18841_3ES"/>
    <x v="2"/>
    <x v="0"/>
    <x v="1"/>
    <x v="8"/>
    <x v="4"/>
    <x v="7"/>
    <x v="210"/>
    <x v="1"/>
    <x v="14"/>
    <x v="0"/>
    <n v="80180"/>
  </r>
  <r>
    <s v="CSKU18628_3ES"/>
    <x v="2"/>
    <x v="0"/>
    <x v="1"/>
    <x v="9"/>
    <x v="1"/>
    <x v="7"/>
    <x v="207"/>
    <x v="1"/>
    <x v="14"/>
    <x v="0"/>
    <n v="105310"/>
  </r>
  <r>
    <s v="CSKU18592_3ES"/>
    <x v="2"/>
    <x v="0"/>
    <x v="1"/>
    <x v="9"/>
    <x v="1"/>
    <x v="7"/>
    <x v="206"/>
    <x v="1"/>
    <x v="14"/>
    <x v="0"/>
    <n v="121780"/>
  </r>
  <r>
    <s v="CSKU18619_3ES"/>
    <x v="2"/>
    <x v="0"/>
    <x v="0"/>
    <x v="9"/>
    <x v="4"/>
    <x v="7"/>
    <x v="207"/>
    <x v="0"/>
    <x v="14"/>
    <x v="0"/>
    <n v="85210"/>
  </r>
  <r>
    <s v="CSKU18620_3ES"/>
    <x v="2"/>
    <x v="0"/>
    <x v="0"/>
    <x v="2"/>
    <x v="1"/>
    <x v="7"/>
    <x v="207"/>
    <x v="0"/>
    <x v="14"/>
    <x v="0"/>
    <n v="89200"/>
  </r>
  <r>
    <s v="CSKU18621_3ES"/>
    <x v="2"/>
    <x v="0"/>
    <x v="0"/>
    <x v="8"/>
    <x v="1"/>
    <x v="7"/>
    <x v="207"/>
    <x v="0"/>
    <x v="14"/>
    <x v="0"/>
    <n v="92760"/>
  </r>
  <r>
    <s v="CSKU18622_3ES"/>
    <x v="2"/>
    <x v="0"/>
    <x v="0"/>
    <x v="9"/>
    <x v="1"/>
    <x v="7"/>
    <x v="207"/>
    <x v="0"/>
    <x v="14"/>
    <x v="0"/>
    <n v="98070"/>
  </r>
  <r>
    <s v="CSKU18623_3ES"/>
    <x v="2"/>
    <x v="0"/>
    <x v="1"/>
    <x v="2"/>
    <x v="4"/>
    <x v="7"/>
    <x v="207"/>
    <x v="1"/>
    <x v="14"/>
    <x v="0"/>
    <n v="83220"/>
  </r>
  <r>
    <s v="CSKU18624_3ES"/>
    <x v="2"/>
    <x v="0"/>
    <x v="1"/>
    <x v="2"/>
    <x v="1"/>
    <x v="7"/>
    <x v="207"/>
    <x v="1"/>
    <x v="14"/>
    <x v="0"/>
    <n v="95380"/>
  </r>
  <r>
    <s v="CSKU18625_3ES"/>
    <x v="2"/>
    <x v="0"/>
    <x v="1"/>
    <x v="8"/>
    <x v="4"/>
    <x v="7"/>
    <x v="207"/>
    <x v="1"/>
    <x v="14"/>
    <x v="0"/>
    <n v="87200"/>
  </r>
  <r>
    <s v="CSKU18626_3ES"/>
    <x v="2"/>
    <x v="0"/>
    <x v="1"/>
    <x v="8"/>
    <x v="1"/>
    <x v="7"/>
    <x v="207"/>
    <x v="1"/>
    <x v="14"/>
    <x v="0"/>
    <n v="99350"/>
  </r>
  <r>
    <s v="CSKU18653_3ES"/>
    <x v="2"/>
    <x v="0"/>
    <x v="0"/>
    <x v="2"/>
    <x v="4"/>
    <x v="7"/>
    <x v="208"/>
    <x v="0"/>
    <x v="14"/>
    <x v="0"/>
    <n v="91010"/>
  </r>
  <r>
    <s v="CSKU18654_3ES"/>
    <x v="2"/>
    <x v="0"/>
    <x v="0"/>
    <x v="8"/>
    <x v="4"/>
    <x v="7"/>
    <x v="208"/>
    <x v="0"/>
    <x v="14"/>
    <x v="0"/>
    <n v="94570"/>
  </r>
  <r>
    <s v="CSKU18655_3ES"/>
    <x v="2"/>
    <x v="0"/>
    <x v="0"/>
    <x v="9"/>
    <x v="4"/>
    <x v="7"/>
    <x v="208"/>
    <x v="0"/>
    <x v="14"/>
    <x v="0"/>
    <n v="98110"/>
  </r>
  <r>
    <s v="CSKU18656_3ES"/>
    <x v="2"/>
    <x v="0"/>
    <x v="0"/>
    <x v="2"/>
    <x v="1"/>
    <x v="7"/>
    <x v="208"/>
    <x v="0"/>
    <x v="14"/>
    <x v="0"/>
    <n v="105670"/>
  </r>
  <r>
    <s v="CSKU18657_3ES"/>
    <x v="2"/>
    <x v="0"/>
    <x v="0"/>
    <x v="8"/>
    <x v="1"/>
    <x v="7"/>
    <x v="208"/>
    <x v="0"/>
    <x v="14"/>
    <x v="0"/>
    <n v="109230"/>
  </r>
  <r>
    <s v="CSKU18658_3ES"/>
    <x v="2"/>
    <x v="0"/>
    <x v="0"/>
    <x v="9"/>
    <x v="1"/>
    <x v="7"/>
    <x v="208"/>
    <x v="0"/>
    <x v="14"/>
    <x v="0"/>
    <n v="114540"/>
  </r>
  <r>
    <s v="CSKU18659_3ES"/>
    <x v="2"/>
    <x v="0"/>
    <x v="1"/>
    <x v="2"/>
    <x v="4"/>
    <x v="7"/>
    <x v="208"/>
    <x v="1"/>
    <x v="14"/>
    <x v="0"/>
    <n v="96120"/>
  </r>
  <r>
    <s v="CSKU18693_3ES"/>
    <x v="2"/>
    <x v="0"/>
    <x v="0"/>
    <x v="8"/>
    <x v="1"/>
    <x v="7"/>
    <x v="314"/>
    <x v="0"/>
    <x v="14"/>
    <x v="0"/>
    <n v="109230"/>
  </r>
  <r>
    <s v="CSKU18694_3ES"/>
    <x v="2"/>
    <x v="0"/>
    <x v="0"/>
    <x v="9"/>
    <x v="1"/>
    <x v="7"/>
    <x v="314"/>
    <x v="0"/>
    <x v="14"/>
    <x v="0"/>
    <n v="114540"/>
  </r>
  <r>
    <s v="CSKU18695_3ES"/>
    <x v="2"/>
    <x v="0"/>
    <x v="1"/>
    <x v="2"/>
    <x v="4"/>
    <x v="7"/>
    <x v="314"/>
    <x v="1"/>
    <x v="14"/>
    <x v="0"/>
    <n v="96120"/>
  </r>
  <r>
    <s v="CSKU18696_3ES"/>
    <x v="2"/>
    <x v="0"/>
    <x v="1"/>
    <x v="2"/>
    <x v="1"/>
    <x v="7"/>
    <x v="314"/>
    <x v="1"/>
    <x v="14"/>
    <x v="0"/>
    <n v="111850"/>
  </r>
  <r>
    <s v="CSKU18697_3ES"/>
    <x v="2"/>
    <x v="0"/>
    <x v="1"/>
    <x v="8"/>
    <x v="4"/>
    <x v="7"/>
    <x v="314"/>
    <x v="1"/>
    <x v="14"/>
    <x v="0"/>
    <n v="100100"/>
  </r>
  <r>
    <s v="CSKU18698_3ES"/>
    <x v="2"/>
    <x v="0"/>
    <x v="1"/>
    <x v="8"/>
    <x v="1"/>
    <x v="7"/>
    <x v="314"/>
    <x v="1"/>
    <x v="14"/>
    <x v="0"/>
    <n v="115820"/>
  </r>
  <r>
    <s v="CSKU18699_3ES"/>
    <x v="2"/>
    <x v="0"/>
    <x v="1"/>
    <x v="9"/>
    <x v="4"/>
    <x v="7"/>
    <x v="314"/>
    <x v="1"/>
    <x v="14"/>
    <x v="0"/>
    <n v="104070"/>
  </r>
  <r>
    <s v="CSKU18700_3ES"/>
    <x v="2"/>
    <x v="0"/>
    <x v="1"/>
    <x v="9"/>
    <x v="1"/>
    <x v="7"/>
    <x v="314"/>
    <x v="1"/>
    <x v="14"/>
    <x v="0"/>
    <n v="121780"/>
  </r>
  <r>
    <s v="CSKU18725_3ES"/>
    <x v="2"/>
    <x v="0"/>
    <x v="0"/>
    <x v="2"/>
    <x v="4"/>
    <x v="7"/>
    <x v="209"/>
    <x v="0"/>
    <x v="14"/>
    <x v="0"/>
    <n v="91010"/>
  </r>
  <r>
    <s v="CSKU18803_3ES"/>
    <x v="2"/>
    <x v="0"/>
    <x v="1"/>
    <x v="2"/>
    <x v="4"/>
    <x v="7"/>
    <x v="316"/>
    <x v="1"/>
    <x v="14"/>
    <x v="0"/>
    <n v="89100"/>
  </r>
  <r>
    <s v="CSKU18833_3ES"/>
    <x v="2"/>
    <x v="0"/>
    <x v="0"/>
    <x v="2"/>
    <x v="4"/>
    <x v="7"/>
    <x v="210"/>
    <x v="0"/>
    <x v="14"/>
    <x v="0"/>
    <n v="70130"/>
  </r>
  <r>
    <s v="CSKU18834_3ES"/>
    <x v="2"/>
    <x v="0"/>
    <x v="0"/>
    <x v="8"/>
    <x v="4"/>
    <x v="7"/>
    <x v="210"/>
    <x v="0"/>
    <x v="14"/>
    <x v="0"/>
    <n v="73690"/>
  </r>
  <r>
    <s v="CSKU18761_3ES"/>
    <x v="2"/>
    <x v="0"/>
    <x v="0"/>
    <x v="2"/>
    <x v="4"/>
    <x v="7"/>
    <x v="315"/>
    <x v="0"/>
    <x v="14"/>
    <x v="0"/>
    <n v="78110"/>
  </r>
  <r>
    <s v="CSKU18762_3ES"/>
    <x v="2"/>
    <x v="0"/>
    <x v="0"/>
    <x v="8"/>
    <x v="4"/>
    <x v="7"/>
    <x v="315"/>
    <x v="0"/>
    <x v="14"/>
    <x v="0"/>
    <n v="81670"/>
  </r>
  <r>
    <s v="CSKU18763_3ES"/>
    <x v="2"/>
    <x v="0"/>
    <x v="0"/>
    <x v="9"/>
    <x v="4"/>
    <x v="7"/>
    <x v="315"/>
    <x v="0"/>
    <x v="14"/>
    <x v="0"/>
    <n v="85210"/>
  </r>
  <r>
    <s v="CSKU18764_3ES"/>
    <x v="2"/>
    <x v="0"/>
    <x v="0"/>
    <x v="2"/>
    <x v="1"/>
    <x v="7"/>
    <x v="315"/>
    <x v="0"/>
    <x v="14"/>
    <x v="0"/>
    <n v="89200"/>
  </r>
  <r>
    <s v="CSKU18765_3ES"/>
    <x v="2"/>
    <x v="0"/>
    <x v="0"/>
    <x v="8"/>
    <x v="1"/>
    <x v="7"/>
    <x v="315"/>
    <x v="0"/>
    <x v="14"/>
    <x v="0"/>
    <n v="92760"/>
  </r>
  <r>
    <s v="CSKU18766_3ES"/>
    <x v="2"/>
    <x v="0"/>
    <x v="0"/>
    <x v="9"/>
    <x v="1"/>
    <x v="7"/>
    <x v="315"/>
    <x v="0"/>
    <x v="14"/>
    <x v="0"/>
    <n v="98070"/>
  </r>
  <r>
    <s v="CSKU18726_3ES"/>
    <x v="2"/>
    <x v="0"/>
    <x v="0"/>
    <x v="8"/>
    <x v="4"/>
    <x v="7"/>
    <x v="209"/>
    <x v="0"/>
    <x v="14"/>
    <x v="0"/>
    <n v="94570"/>
  </r>
  <r>
    <s v="CSKU18727_3ES"/>
    <x v="2"/>
    <x v="0"/>
    <x v="0"/>
    <x v="9"/>
    <x v="4"/>
    <x v="7"/>
    <x v="209"/>
    <x v="0"/>
    <x v="14"/>
    <x v="0"/>
    <n v="98110"/>
  </r>
  <r>
    <s v="CSKU18728_3ES"/>
    <x v="2"/>
    <x v="0"/>
    <x v="0"/>
    <x v="2"/>
    <x v="1"/>
    <x v="7"/>
    <x v="209"/>
    <x v="0"/>
    <x v="14"/>
    <x v="0"/>
    <n v="105670"/>
  </r>
  <r>
    <s v="CSKU18729_3ES"/>
    <x v="2"/>
    <x v="0"/>
    <x v="0"/>
    <x v="8"/>
    <x v="1"/>
    <x v="7"/>
    <x v="209"/>
    <x v="0"/>
    <x v="14"/>
    <x v="0"/>
    <n v="109230"/>
  </r>
  <r>
    <s v="CSKU18730_3ES"/>
    <x v="2"/>
    <x v="0"/>
    <x v="0"/>
    <x v="9"/>
    <x v="1"/>
    <x v="7"/>
    <x v="209"/>
    <x v="0"/>
    <x v="14"/>
    <x v="0"/>
    <n v="114540"/>
  </r>
  <r>
    <s v="CSKU18731_3ES"/>
    <x v="2"/>
    <x v="0"/>
    <x v="1"/>
    <x v="2"/>
    <x v="4"/>
    <x v="7"/>
    <x v="209"/>
    <x v="1"/>
    <x v="14"/>
    <x v="0"/>
    <n v="96120"/>
  </r>
  <r>
    <s v="CSKU18732_3ES"/>
    <x v="2"/>
    <x v="0"/>
    <x v="1"/>
    <x v="2"/>
    <x v="1"/>
    <x v="7"/>
    <x v="209"/>
    <x v="1"/>
    <x v="14"/>
    <x v="0"/>
    <n v="111850"/>
  </r>
  <r>
    <s v="CSKU18484_3ES"/>
    <x v="2"/>
    <x v="0"/>
    <x v="1"/>
    <x v="9"/>
    <x v="1"/>
    <x v="7"/>
    <x v="203"/>
    <x v="1"/>
    <x v="14"/>
    <x v="0"/>
    <n v="142180"/>
  </r>
  <r>
    <s v="CSKU18511_3ES"/>
    <x v="2"/>
    <x v="0"/>
    <x v="0"/>
    <x v="9"/>
    <x v="4"/>
    <x v="7"/>
    <x v="204"/>
    <x v="0"/>
    <x v="14"/>
    <x v="0"/>
    <n v="114520"/>
  </r>
  <r>
    <s v="CSKU18512_3ES"/>
    <x v="2"/>
    <x v="0"/>
    <x v="0"/>
    <x v="2"/>
    <x v="1"/>
    <x v="7"/>
    <x v="204"/>
    <x v="0"/>
    <x v="14"/>
    <x v="0"/>
    <n v="126070"/>
  </r>
  <r>
    <s v="CSKU18513_3ES"/>
    <x v="2"/>
    <x v="0"/>
    <x v="0"/>
    <x v="8"/>
    <x v="1"/>
    <x v="7"/>
    <x v="204"/>
    <x v="0"/>
    <x v="14"/>
    <x v="0"/>
    <n v="129630"/>
  </r>
  <r>
    <s v="CSKU18514_3ES"/>
    <x v="2"/>
    <x v="0"/>
    <x v="0"/>
    <x v="9"/>
    <x v="1"/>
    <x v="7"/>
    <x v="204"/>
    <x v="0"/>
    <x v="14"/>
    <x v="0"/>
    <n v="134940"/>
  </r>
  <r>
    <s v="CSKU18515_3ES"/>
    <x v="2"/>
    <x v="0"/>
    <x v="1"/>
    <x v="2"/>
    <x v="4"/>
    <x v="7"/>
    <x v="204"/>
    <x v="1"/>
    <x v="14"/>
    <x v="0"/>
    <n v="112530"/>
  </r>
  <r>
    <s v="CSKU18516_3ES"/>
    <x v="2"/>
    <x v="0"/>
    <x v="1"/>
    <x v="2"/>
    <x v="1"/>
    <x v="7"/>
    <x v="204"/>
    <x v="1"/>
    <x v="14"/>
    <x v="0"/>
    <n v="132250"/>
  </r>
  <r>
    <s v="CSKU18545_3ES"/>
    <x v="2"/>
    <x v="0"/>
    <x v="0"/>
    <x v="2"/>
    <x v="4"/>
    <x v="7"/>
    <x v="205"/>
    <x v="0"/>
    <x v="14"/>
    <x v="0"/>
    <n v="107420"/>
  </r>
  <r>
    <s v="CSKU18546_3ES"/>
    <x v="2"/>
    <x v="0"/>
    <x v="0"/>
    <x v="8"/>
    <x v="4"/>
    <x v="7"/>
    <x v="205"/>
    <x v="0"/>
    <x v="14"/>
    <x v="0"/>
    <n v="110980"/>
  </r>
  <r>
    <s v="CSKU18547_3ES"/>
    <x v="2"/>
    <x v="0"/>
    <x v="0"/>
    <x v="9"/>
    <x v="4"/>
    <x v="7"/>
    <x v="205"/>
    <x v="0"/>
    <x v="14"/>
    <x v="0"/>
    <n v="114520"/>
  </r>
  <r>
    <s v="CSKU18548_3ES"/>
    <x v="2"/>
    <x v="0"/>
    <x v="0"/>
    <x v="2"/>
    <x v="1"/>
    <x v="7"/>
    <x v="205"/>
    <x v="0"/>
    <x v="14"/>
    <x v="0"/>
    <n v="126070"/>
  </r>
  <r>
    <s v="CSKU18549_3ES"/>
    <x v="2"/>
    <x v="0"/>
    <x v="0"/>
    <x v="8"/>
    <x v="1"/>
    <x v="7"/>
    <x v="205"/>
    <x v="0"/>
    <x v="14"/>
    <x v="0"/>
    <n v="129630"/>
  </r>
  <r>
    <s v="CSKU18550_3ES"/>
    <x v="2"/>
    <x v="0"/>
    <x v="0"/>
    <x v="9"/>
    <x v="1"/>
    <x v="7"/>
    <x v="205"/>
    <x v="0"/>
    <x v="14"/>
    <x v="0"/>
    <n v="134940"/>
  </r>
  <r>
    <s v="CSKU18804_3ES"/>
    <x v="2"/>
    <x v="0"/>
    <x v="1"/>
    <x v="2"/>
    <x v="1"/>
    <x v="7"/>
    <x v="316"/>
    <x v="1"/>
    <x v="14"/>
    <x v="0"/>
    <n v="103930"/>
  </r>
  <r>
    <s v="CSKU18805_3ES"/>
    <x v="2"/>
    <x v="0"/>
    <x v="1"/>
    <x v="8"/>
    <x v="4"/>
    <x v="7"/>
    <x v="316"/>
    <x v="1"/>
    <x v="14"/>
    <x v="0"/>
    <n v="93080"/>
  </r>
  <r>
    <s v="CSKU18806_3ES"/>
    <x v="2"/>
    <x v="0"/>
    <x v="1"/>
    <x v="8"/>
    <x v="1"/>
    <x v="7"/>
    <x v="316"/>
    <x v="1"/>
    <x v="14"/>
    <x v="0"/>
    <n v="107900"/>
  </r>
  <r>
    <s v="CSKU18807_3ES"/>
    <x v="2"/>
    <x v="0"/>
    <x v="1"/>
    <x v="9"/>
    <x v="4"/>
    <x v="7"/>
    <x v="316"/>
    <x v="1"/>
    <x v="14"/>
    <x v="0"/>
    <n v="97050"/>
  </r>
  <r>
    <s v="CSKU18808_3ES"/>
    <x v="2"/>
    <x v="0"/>
    <x v="1"/>
    <x v="9"/>
    <x v="1"/>
    <x v="7"/>
    <x v="316"/>
    <x v="1"/>
    <x v="14"/>
    <x v="0"/>
    <n v="113860"/>
  </r>
  <r>
    <s v="CSKU18588_3ES"/>
    <x v="2"/>
    <x v="0"/>
    <x v="1"/>
    <x v="2"/>
    <x v="1"/>
    <x v="7"/>
    <x v="206"/>
    <x v="1"/>
    <x v="14"/>
    <x v="0"/>
    <n v="111850"/>
  </r>
  <r>
    <s v="CSKU18589_3ES"/>
    <x v="2"/>
    <x v="0"/>
    <x v="1"/>
    <x v="8"/>
    <x v="4"/>
    <x v="7"/>
    <x v="206"/>
    <x v="1"/>
    <x v="14"/>
    <x v="0"/>
    <n v="100100"/>
  </r>
  <r>
    <s v="CSKU18590_3ES"/>
    <x v="2"/>
    <x v="0"/>
    <x v="1"/>
    <x v="8"/>
    <x v="1"/>
    <x v="7"/>
    <x v="206"/>
    <x v="1"/>
    <x v="14"/>
    <x v="0"/>
    <n v="115820"/>
  </r>
  <r>
    <s v="CSKU18554_3ES"/>
    <x v="2"/>
    <x v="0"/>
    <x v="1"/>
    <x v="8"/>
    <x v="1"/>
    <x v="7"/>
    <x v="205"/>
    <x v="1"/>
    <x v="14"/>
    <x v="0"/>
    <n v="136220"/>
  </r>
  <r>
    <s v="CSKU18555_3ES"/>
    <x v="2"/>
    <x v="0"/>
    <x v="1"/>
    <x v="9"/>
    <x v="4"/>
    <x v="7"/>
    <x v="205"/>
    <x v="1"/>
    <x v="14"/>
    <x v="0"/>
    <n v="120480"/>
  </r>
  <r>
    <s v="CSKU18556_3ES"/>
    <x v="2"/>
    <x v="0"/>
    <x v="1"/>
    <x v="9"/>
    <x v="1"/>
    <x v="7"/>
    <x v="205"/>
    <x v="1"/>
    <x v="14"/>
    <x v="0"/>
    <n v="142180"/>
  </r>
  <r>
    <s v="CSKU18551_3ES"/>
    <x v="2"/>
    <x v="0"/>
    <x v="1"/>
    <x v="2"/>
    <x v="4"/>
    <x v="7"/>
    <x v="205"/>
    <x v="1"/>
    <x v="14"/>
    <x v="0"/>
    <n v="112530"/>
  </r>
  <r>
    <s v="CSKU18552_3ES"/>
    <x v="2"/>
    <x v="0"/>
    <x v="1"/>
    <x v="2"/>
    <x v="1"/>
    <x v="7"/>
    <x v="205"/>
    <x v="1"/>
    <x v="14"/>
    <x v="0"/>
    <n v="132250"/>
  </r>
  <r>
    <s v="CSKU18627_3ES"/>
    <x v="2"/>
    <x v="0"/>
    <x v="1"/>
    <x v="9"/>
    <x v="4"/>
    <x v="7"/>
    <x v="207"/>
    <x v="1"/>
    <x v="14"/>
    <x v="0"/>
    <n v="91170"/>
  </r>
  <r>
    <s v="CSKU18581_3ES"/>
    <x v="2"/>
    <x v="0"/>
    <x v="0"/>
    <x v="2"/>
    <x v="4"/>
    <x v="7"/>
    <x v="206"/>
    <x v="0"/>
    <x v="14"/>
    <x v="0"/>
    <n v="91010"/>
  </r>
  <r>
    <s v="CSKU18582_3ES"/>
    <x v="2"/>
    <x v="0"/>
    <x v="0"/>
    <x v="8"/>
    <x v="4"/>
    <x v="7"/>
    <x v="206"/>
    <x v="0"/>
    <x v="14"/>
    <x v="0"/>
    <n v="94570"/>
  </r>
  <r>
    <s v="CSKU18583_3ES"/>
    <x v="2"/>
    <x v="0"/>
    <x v="0"/>
    <x v="9"/>
    <x v="4"/>
    <x v="7"/>
    <x v="206"/>
    <x v="0"/>
    <x v="14"/>
    <x v="0"/>
    <n v="98110"/>
  </r>
  <r>
    <s v="CSKU18584_3ES"/>
    <x v="2"/>
    <x v="0"/>
    <x v="0"/>
    <x v="2"/>
    <x v="1"/>
    <x v="7"/>
    <x v="206"/>
    <x v="0"/>
    <x v="14"/>
    <x v="0"/>
    <n v="105670"/>
  </r>
  <r>
    <s v="CSKU18585_3ES"/>
    <x v="2"/>
    <x v="0"/>
    <x v="0"/>
    <x v="8"/>
    <x v="1"/>
    <x v="7"/>
    <x v="206"/>
    <x v="0"/>
    <x v="14"/>
    <x v="0"/>
    <n v="109230"/>
  </r>
  <r>
    <s v="CSKU18586_3ES"/>
    <x v="2"/>
    <x v="0"/>
    <x v="0"/>
    <x v="9"/>
    <x v="1"/>
    <x v="7"/>
    <x v="206"/>
    <x v="0"/>
    <x v="14"/>
    <x v="0"/>
    <n v="114540"/>
  </r>
  <r>
    <s v="CSKU18587_3ES"/>
    <x v="2"/>
    <x v="0"/>
    <x v="1"/>
    <x v="2"/>
    <x v="4"/>
    <x v="7"/>
    <x v="206"/>
    <x v="1"/>
    <x v="14"/>
    <x v="0"/>
    <n v="96120"/>
  </r>
  <r>
    <s v="CSKU18617_3ES"/>
    <x v="2"/>
    <x v="0"/>
    <x v="0"/>
    <x v="2"/>
    <x v="4"/>
    <x v="7"/>
    <x v="207"/>
    <x v="0"/>
    <x v="14"/>
    <x v="0"/>
    <n v="78110"/>
  </r>
  <r>
    <s v="CSKU18517_3ES"/>
    <x v="2"/>
    <x v="0"/>
    <x v="1"/>
    <x v="8"/>
    <x v="4"/>
    <x v="7"/>
    <x v="204"/>
    <x v="1"/>
    <x v="14"/>
    <x v="0"/>
    <n v="116510"/>
  </r>
  <r>
    <s v="CSKU18437_3ES"/>
    <x v="2"/>
    <x v="0"/>
    <x v="0"/>
    <x v="2"/>
    <x v="4"/>
    <x v="7"/>
    <x v="317"/>
    <x v="0"/>
    <x v="14"/>
    <x v="0"/>
    <n v="81620"/>
  </r>
  <r>
    <s v="CSKU18438_3ES"/>
    <x v="2"/>
    <x v="0"/>
    <x v="0"/>
    <x v="8"/>
    <x v="4"/>
    <x v="7"/>
    <x v="317"/>
    <x v="0"/>
    <x v="14"/>
    <x v="0"/>
    <n v="85180"/>
  </r>
  <r>
    <s v="CSKU18439_3ES"/>
    <x v="2"/>
    <x v="0"/>
    <x v="0"/>
    <x v="9"/>
    <x v="4"/>
    <x v="7"/>
    <x v="317"/>
    <x v="0"/>
    <x v="14"/>
    <x v="0"/>
    <n v="88720"/>
  </r>
  <r>
    <s v="CSKU18440_3ES"/>
    <x v="2"/>
    <x v="0"/>
    <x v="0"/>
    <x v="2"/>
    <x v="1"/>
    <x v="7"/>
    <x v="317"/>
    <x v="0"/>
    <x v="14"/>
    <x v="0"/>
    <n v="93130"/>
  </r>
  <r>
    <s v="CSKU18441_3ES"/>
    <x v="2"/>
    <x v="0"/>
    <x v="0"/>
    <x v="8"/>
    <x v="1"/>
    <x v="7"/>
    <x v="317"/>
    <x v="0"/>
    <x v="14"/>
    <x v="0"/>
    <n v="96690"/>
  </r>
  <r>
    <s v="CSKU18442_3ES"/>
    <x v="2"/>
    <x v="0"/>
    <x v="0"/>
    <x v="9"/>
    <x v="1"/>
    <x v="7"/>
    <x v="317"/>
    <x v="0"/>
    <x v="14"/>
    <x v="0"/>
    <n v="102000"/>
  </r>
  <r>
    <s v="CSKU18477_3ES"/>
    <x v="2"/>
    <x v="0"/>
    <x v="0"/>
    <x v="8"/>
    <x v="1"/>
    <x v="7"/>
    <x v="203"/>
    <x v="0"/>
    <x v="14"/>
    <x v="0"/>
    <n v="129630"/>
  </r>
  <r>
    <s v="CSKU18478_3ES"/>
    <x v="2"/>
    <x v="0"/>
    <x v="0"/>
    <x v="9"/>
    <x v="1"/>
    <x v="7"/>
    <x v="203"/>
    <x v="0"/>
    <x v="14"/>
    <x v="0"/>
    <n v="134940"/>
  </r>
  <r>
    <s v="CSKU18479_3ES"/>
    <x v="2"/>
    <x v="0"/>
    <x v="1"/>
    <x v="2"/>
    <x v="4"/>
    <x v="7"/>
    <x v="203"/>
    <x v="1"/>
    <x v="14"/>
    <x v="0"/>
    <n v="112530"/>
  </r>
  <r>
    <s v="CSKU18480_3ES"/>
    <x v="2"/>
    <x v="0"/>
    <x v="1"/>
    <x v="2"/>
    <x v="1"/>
    <x v="7"/>
    <x v="203"/>
    <x v="1"/>
    <x v="14"/>
    <x v="0"/>
    <n v="132250"/>
  </r>
  <r>
    <s v="CSKU18481_3ES"/>
    <x v="2"/>
    <x v="0"/>
    <x v="1"/>
    <x v="8"/>
    <x v="4"/>
    <x v="7"/>
    <x v="203"/>
    <x v="1"/>
    <x v="14"/>
    <x v="0"/>
    <n v="116510"/>
  </r>
  <r>
    <s v="CSKU18482_3ES"/>
    <x v="2"/>
    <x v="0"/>
    <x v="1"/>
    <x v="8"/>
    <x v="1"/>
    <x v="7"/>
    <x v="203"/>
    <x v="1"/>
    <x v="14"/>
    <x v="0"/>
    <n v="136220"/>
  </r>
  <r>
    <s v="CSKU18518_3ES"/>
    <x v="2"/>
    <x v="0"/>
    <x v="1"/>
    <x v="8"/>
    <x v="1"/>
    <x v="7"/>
    <x v="204"/>
    <x v="1"/>
    <x v="14"/>
    <x v="0"/>
    <n v="136220"/>
  </r>
  <r>
    <s v="CSKU18519_3ES"/>
    <x v="2"/>
    <x v="0"/>
    <x v="1"/>
    <x v="9"/>
    <x v="4"/>
    <x v="7"/>
    <x v="204"/>
    <x v="1"/>
    <x v="14"/>
    <x v="0"/>
    <n v="120480"/>
  </r>
  <r>
    <s v="CSKU18520_3ES"/>
    <x v="2"/>
    <x v="0"/>
    <x v="1"/>
    <x v="9"/>
    <x v="1"/>
    <x v="7"/>
    <x v="204"/>
    <x v="1"/>
    <x v="14"/>
    <x v="0"/>
    <n v="142180"/>
  </r>
  <r>
    <s v="CSKU18443_3ES"/>
    <x v="2"/>
    <x v="0"/>
    <x v="1"/>
    <x v="2"/>
    <x v="4"/>
    <x v="7"/>
    <x v="317"/>
    <x v="1"/>
    <x v="14"/>
    <x v="0"/>
    <n v="86730"/>
  </r>
  <r>
    <s v="CSKU18444_3ES"/>
    <x v="2"/>
    <x v="0"/>
    <x v="1"/>
    <x v="2"/>
    <x v="1"/>
    <x v="7"/>
    <x v="317"/>
    <x v="1"/>
    <x v="14"/>
    <x v="0"/>
    <n v="99310"/>
  </r>
  <r>
    <s v="CSKU18445_3ES"/>
    <x v="2"/>
    <x v="0"/>
    <x v="1"/>
    <x v="8"/>
    <x v="4"/>
    <x v="7"/>
    <x v="317"/>
    <x v="1"/>
    <x v="14"/>
    <x v="0"/>
    <n v="90710"/>
  </r>
  <r>
    <s v="CSKU18446_3ES"/>
    <x v="2"/>
    <x v="0"/>
    <x v="1"/>
    <x v="8"/>
    <x v="1"/>
    <x v="7"/>
    <x v="317"/>
    <x v="1"/>
    <x v="14"/>
    <x v="0"/>
    <n v="103280"/>
  </r>
  <r>
    <s v="CSKU18447_3ES"/>
    <x v="2"/>
    <x v="0"/>
    <x v="1"/>
    <x v="9"/>
    <x v="4"/>
    <x v="7"/>
    <x v="317"/>
    <x v="1"/>
    <x v="14"/>
    <x v="0"/>
    <n v="94680"/>
  </r>
  <r>
    <s v="CSKU18448_3ES"/>
    <x v="2"/>
    <x v="0"/>
    <x v="1"/>
    <x v="9"/>
    <x v="1"/>
    <x v="7"/>
    <x v="317"/>
    <x v="1"/>
    <x v="14"/>
    <x v="0"/>
    <n v="109240"/>
  </r>
  <r>
    <s v="CSKU18473_3ES"/>
    <x v="2"/>
    <x v="0"/>
    <x v="0"/>
    <x v="2"/>
    <x v="4"/>
    <x v="7"/>
    <x v="203"/>
    <x v="0"/>
    <x v="14"/>
    <x v="0"/>
    <n v="107420"/>
  </r>
  <r>
    <s v="CSKU18474_3ES"/>
    <x v="2"/>
    <x v="0"/>
    <x v="0"/>
    <x v="8"/>
    <x v="4"/>
    <x v="7"/>
    <x v="203"/>
    <x v="0"/>
    <x v="14"/>
    <x v="0"/>
    <n v="110980"/>
  </r>
  <r>
    <s v="CSKU18475_3ES"/>
    <x v="2"/>
    <x v="0"/>
    <x v="0"/>
    <x v="9"/>
    <x v="4"/>
    <x v="7"/>
    <x v="203"/>
    <x v="0"/>
    <x v="14"/>
    <x v="0"/>
    <n v="114520"/>
  </r>
  <r>
    <s v="CSKU18476_3ES"/>
    <x v="2"/>
    <x v="0"/>
    <x v="0"/>
    <x v="2"/>
    <x v="1"/>
    <x v="7"/>
    <x v="203"/>
    <x v="0"/>
    <x v="14"/>
    <x v="0"/>
    <n v="126070"/>
  </r>
  <r>
    <s v="CSKU18509_3ES"/>
    <x v="2"/>
    <x v="0"/>
    <x v="0"/>
    <x v="2"/>
    <x v="4"/>
    <x v="7"/>
    <x v="204"/>
    <x v="0"/>
    <x v="14"/>
    <x v="0"/>
    <n v="107420"/>
  </r>
  <r>
    <s v="CSKU18221_3ES"/>
    <x v="2"/>
    <x v="0"/>
    <x v="0"/>
    <x v="2"/>
    <x v="4"/>
    <x v="7"/>
    <x v="318"/>
    <x v="0"/>
    <x v="14"/>
    <x v="0"/>
    <n v="107420"/>
  </r>
  <r>
    <s v="CSKU18222_3ES"/>
    <x v="2"/>
    <x v="0"/>
    <x v="0"/>
    <x v="8"/>
    <x v="4"/>
    <x v="7"/>
    <x v="318"/>
    <x v="0"/>
    <x v="14"/>
    <x v="0"/>
    <n v="110980"/>
  </r>
  <r>
    <s v="CSKU18223_3ES"/>
    <x v="2"/>
    <x v="0"/>
    <x v="0"/>
    <x v="9"/>
    <x v="4"/>
    <x v="7"/>
    <x v="318"/>
    <x v="0"/>
    <x v="14"/>
    <x v="0"/>
    <n v="114520"/>
  </r>
  <r>
    <s v="CSKU18224_3ES"/>
    <x v="2"/>
    <x v="0"/>
    <x v="0"/>
    <x v="2"/>
    <x v="1"/>
    <x v="7"/>
    <x v="318"/>
    <x v="0"/>
    <x v="14"/>
    <x v="0"/>
    <n v="126070"/>
  </r>
  <r>
    <s v="CSKU18159_3ES"/>
    <x v="2"/>
    <x v="0"/>
    <x v="1"/>
    <x v="9"/>
    <x v="4"/>
    <x v="7"/>
    <x v="200"/>
    <x v="1"/>
    <x v="14"/>
    <x v="0"/>
    <n v="120480"/>
  </r>
  <r>
    <s v="CSKU18160_3ES"/>
    <x v="2"/>
    <x v="0"/>
    <x v="1"/>
    <x v="9"/>
    <x v="1"/>
    <x v="7"/>
    <x v="200"/>
    <x v="1"/>
    <x v="14"/>
    <x v="0"/>
    <n v="142180"/>
  </r>
  <r>
    <s v="CSKU18294_3ES"/>
    <x v="2"/>
    <x v="0"/>
    <x v="0"/>
    <x v="8"/>
    <x v="4"/>
    <x v="7"/>
    <x v="201"/>
    <x v="0"/>
    <x v="14"/>
    <x v="0"/>
    <n v="98080"/>
  </r>
  <r>
    <s v="CSKU18295_3ES"/>
    <x v="2"/>
    <x v="0"/>
    <x v="0"/>
    <x v="9"/>
    <x v="4"/>
    <x v="7"/>
    <x v="201"/>
    <x v="0"/>
    <x v="14"/>
    <x v="0"/>
    <n v="101620"/>
  </r>
  <r>
    <s v="CSKU18296_3ES"/>
    <x v="2"/>
    <x v="0"/>
    <x v="0"/>
    <x v="2"/>
    <x v="1"/>
    <x v="7"/>
    <x v="201"/>
    <x v="0"/>
    <x v="14"/>
    <x v="0"/>
    <n v="109600"/>
  </r>
  <r>
    <s v="CSKU18297_3ES"/>
    <x v="2"/>
    <x v="0"/>
    <x v="0"/>
    <x v="8"/>
    <x v="1"/>
    <x v="7"/>
    <x v="201"/>
    <x v="0"/>
    <x v="14"/>
    <x v="0"/>
    <n v="113160"/>
  </r>
  <r>
    <s v="CSKU18298_3ES"/>
    <x v="2"/>
    <x v="0"/>
    <x v="0"/>
    <x v="9"/>
    <x v="1"/>
    <x v="7"/>
    <x v="201"/>
    <x v="0"/>
    <x v="14"/>
    <x v="0"/>
    <n v="118470"/>
  </r>
  <r>
    <s v="CSKU18299_3ES"/>
    <x v="2"/>
    <x v="0"/>
    <x v="1"/>
    <x v="2"/>
    <x v="4"/>
    <x v="7"/>
    <x v="201"/>
    <x v="1"/>
    <x v="14"/>
    <x v="0"/>
    <n v="99630"/>
  </r>
  <r>
    <s v="CSKU18338_3ES"/>
    <x v="2"/>
    <x v="0"/>
    <x v="1"/>
    <x v="8"/>
    <x v="1"/>
    <x v="7"/>
    <x v="319"/>
    <x v="1"/>
    <x v="14"/>
    <x v="0"/>
    <n v="119750"/>
  </r>
  <r>
    <s v="CSKU18339_3ES"/>
    <x v="2"/>
    <x v="0"/>
    <x v="1"/>
    <x v="9"/>
    <x v="4"/>
    <x v="7"/>
    <x v="319"/>
    <x v="1"/>
    <x v="14"/>
    <x v="0"/>
    <n v="107580"/>
  </r>
  <r>
    <s v="CSKU18340_3ES"/>
    <x v="2"/>
    <x v="0"/>
    <x v="1"/>
    <x v="9"/>
    <x v="1"/>
    <x v="7"/>
    <x v="319"/>
    <x v="1"/>
    <x v="14"/>
    <x v="0"/>
    <n v="125710"/>
  </r>
  <r>
    <s v="CSKU18365_3ES"/>
    <x v="2"/>
    <x v="0"/>
    <x v="0"/>
    <x v="2"/>
    <x v="4"/>
    <x v="7"/>
    <x v="202"/>
    <x v="0"/>
    <x v="14"/>
    <x v="0"/>
    <n v="94520"/>
  </r>
  <r>
    <s v="CSKU18366_3ES"/>
    <x v="2"/>
    <x v="0"/>
    <x v="0"/>
    <x v="8"/>
    <x v="4"/>
    <x v="7"/>
    <x v="202"/>
    <x v="0"/>
    <x v="14"/>
    <x v="0"/>
    <n v="98080"/>
  </r>
  <r>
    <s v="CSKU18367_3ES"/>
    <x v="2"/>
    <x v="0"/>
    <x v="0"/>
    <x v="9"/>
    <x v="4"/>
    <x v="7"/>
    <x v="202"/>
    <x v="0"/>
    <x v="14"/>
    <x v="0"/>
    <n v="101620"/>
  </r>
  <r>
    <s v="CSKU18369_3ES"/>
    <x v="2"/>
    <x v="0"/>
    <x v="0"/>
    <x v="8"/>
    <x v="1"/>
    <x v="7"/>
    <x v="202"/>
    <x v="0"/>
    <x v="14"/>
    <x v="0"/>
    <n v="113160"/>
  </r>
  <r>
    <s v="CSKU18370_3ES"/>
    <x v="2"/>
    <x v="0"/>
    <x v="0"/>
    <x v="9"/>
    <x v="1"/>
    <x v="7"/>
    <x v="202"/>
    <x v="0"/>
    <x v="14"/>
    <x v="0"/>
    <n v="118470"/>
  </r>
  <r>
    <s v="CSKU18371_3ES"/>
    <x v="2"/>
    <x v="0"/>
    <x v="1"/>
    <x v="2"/>
    <x v="4"/>
    <x v="7"/>
    <x v="202"/>
    <x v="1"/>
    <x v="14"/>
    <x v="0"/>
    <n v="99630"/>
  </r>
  <r>
    <s v="CSKU18372_3ES"/>
    <x v="2"/>
    <x v="0"/>
    <x v="1"/>
    <x v="2"/>
    <x v="1"/>
    <x v="7"/>
    <x v="202"/>
    <x v="1"/>
    <x v="14"/>
    <x v="0"/>
    <n v="115780"/>
  </r>
  <r>
    <s v="CSKU18373_3ES"/>
    <x v="2"/>
    <x v="0"/>
    <x v="1"/>
    <x v="8"/>
    <x v="4"/>
    <x v="7"/>
    <x v="202"/>
    <x v="1"/>
    <x v="14"/>
    <x v="0"/>
    <n v="103610"/>
  </r>
  <r>
    <s v="CSKU18374_3ES"/>
    <x v="2"/>
    <x v="0"/>
    <x v="1"/>
    <x v="8"/>
    <x v="1"/>
    <x v="7"/>
    <x v="202"/>
    <x v="1"/>
    <x v="14"/>
    <x v="0"/>
    <n v="119750"/>
  </r>
  <r>
    <s v="CSKU18375_3ES"/>
    <x v="2"/>
    <x v="0"/>
    <x v="1"/>
    <x v="9"/>
    <x v="4"/>
    <x v="7"/>
    <x v="202"/>
    <x v="1"/>
    <x v="14"/>
    <x v="0"/>
    <n v="107580"/>
  </r>
  <r>
    <s v="CSKU18401_3ES"/>
    <x v="2"/>
    <x v="0"/>
    <x v="0"/>
    <x v="2"/>
    <x v="4"/>
    <x v="7"/>
    <x v="320"/>
    <x v="0"/>
    <x v="14"/>
    <x v="0"/>
    <n v="94520"/>
  </r>
  <r>
    <s v="CSKU18402_3ES"/>
    <x v="2"/>
    <x v="0"/>
    <x v="0"/>
    <x v="8"/>
    <x v="4"/>
    <x v="7"/>
    <x v="320"/>
    <x v="0"/>
    <x v="14"/>
    <x v="0"/>
    <n v="98080"/>
  </r>
  <r>
    <s v="CSKU18403_3ES"/>
    <x v="2"/>
    <x v="0"/>
    <x v="0"/>
    <x v="9"/>
    <x v="4"/>
    <x v="7"/>
    <x v="320"/>
    <x v="0"/>
    <x v="14"/>
    <x v="0"/>
    <n v="101620"/>
  </r>
  <r>
    <s v="CSKU18404_3ES"/>
    <x v="2"/>
    <x v="0"/>
    <x v="0"/>
    <x v="2"/>
    <x v="1"/>
    <x v="7"/>
    <x v="320"/>
    <x v="0"/>
    <x v="14"/>
    <x v="0"/>
    <n v="109600"/>
  </r>
  <r>
    <s v="CSKU18405_3ES"/>
    <x v="2"/>
    <x v="0"/>
    <x v="0"/>
    <x v="8"/>
    <x v="1"/>
    <x v="7"/>
    <x v="320"/>
    <x v="0"/>
    <x v="14"/>
    <x v="0"/>
    <n v="113160"/>
  </r>
  <r>
    <s v="CSKU18406_3ES"/>
    <x v="2"/>
    <x v="0"/>
    <x v="0"/>
    <x v="9"/>
    <x v="1"/>
    <x v="7"/>
    <x v="320"/>
    <x v="0"/>
    <x v="14"/>
    <x v="0"/>
    <n v="118470"/>
  </r>
  <r>
    <s v="CSKU18407_3ES"/>
    <x v="2"/>
    <x v="0"/>
    <x v="1"/>
    <x v="2"/>
    <x v="4"/>
    <x v="7"/>
    <x v="320"/>
    <x v="1"/>
    <x v="14"/>
    <x v="0"/>
    <n v="99630"/>
  </r>
  <r>
    <s v="CSKU18408_3ES"/>
    <x v="2"/>
    <x v="0"/>
    <x v="1"/>
    <x v="2"/>
    <x v="1"/>
    <x v="7"/>
    <x v="320"/>
    <x v="1"/>
    <x v="14"/>
    <x v="0"/>
    <n v="115780"/>
  </r>
  <r>
    <s v="CSKU18409_3ES"/>
    <x v="2"/>
    <x v="0"/>
    <x v="1"/>
    <x v="8"/>
    <x v="4"/>
    <x v="7"/>
    <x v="320"/>
    <x v="1"/>
    <x v="14"/>
    <x v="0"/>
    <n v="103610"/>
  </r>
  <r>
    <s v="CSKU18410_3ES"/>
    <x v="2"/>
    <x v="0"/>
    <x v="1"/>
    <x v="8"/>
    <x v="1"/>
    <x v="7"/>
    <x v="320"/>
    <x v="1"/>
    <x v="14"/>
    <x v="0"/>
    <n v="119750"/>
  </r>
  <r>
    <s v="CSKU18411_3ES"/>
    <x v="2"/>
    <x v="0"/>
    <x v="1"/>
    <x v="9"/>
    <x v="4"/>
    <x v="7"/>
    <x v="320"/>
    <x v="1"/>
    <x v="14"/>
    <x v="0"/>
    <n v="107580"/>
  </r>
  <r>
    <s v="CSKU18412_3ES"/>
    <x v="2"/>
    <x v="0"/>
    <x v="1"/>
    <x v="9"/>
    <x v="1"/>
    <x v="7"/>
    <x v="320"/>
    <x v="1"/>
    <x v="14"/>
    <x v="0"/>
    <n v="125710"/>
  </r>
  <r>
    <s v="CSKU18077_3ES"/>
    <x v="2"/>
    <x v="0"/>
    <x v="0"/>
    <x v="2"/>
    <x v="4"/>
    <x v="7"/>
    <x v="321"/>
    <x v="0"/>
    <x v="14"/>
    <x v="0"/>
    <n v="58640"/>
  </r>
  <r>
    <s v="CSKU18078_3ES"/>
    <x v="2"/>
    <x v="0"/>
    <x v="0"/>
    <x v="8"/>
    <x v="4"/>
    <x v="7"/>
    <x v="321"/>
    <x v="0"/>
    <x v="14"/>
    <x v="0"/>
    <n v="62200"/>
  </r>
  <r>
    <s v="CSKU18079_3ES"/>
    <x v="2"/>
    <x v="0"/>
    <x v="0"/>
    <x v="9"/>
    <x v="4"/>
    <x v="7"/>
    <x v="321"/>
    <x v="0"/>
    <x v="14"/>
    <x v="0"/>
    <n v="65740"/>
  </r>
  <r>
    <s v="CSKU18080_3ES"/>
    <x v="2"/>
    <x v="0"/>
    <x v="0"/>
    <x v="2"/>
    <x v="1"/>
    <x v="7"/>
    <x v="321"/>
    <x v="0"/>
    <x v="14"/>
    <x v="0"/>
    <n v="67510"/>
  </r>
  <r>
    <s v="CSKU18081_3ES"/>
    <x v="2"/>
    <x v="0"/>
    <x v="0"/>
    <x v="8"/>
    <x v="1"/>
    <x v="7"/>
    <x v="321"/>
    <x v="0"/>
    <x v="14"/>
    <x v="0"/>
    <n v="71070"/>
  </r>
  <r>
    <s v="CSKU18082_3ES"/>
    <x v="2"/>
    <x v="0"/>
    <x v="0"/>
    <x v="9"/>
    <x v="1"/>
    <x v="7"/>
    <x v="321"/>
    <x v="0"/>
    <x v="14"/>
    <x v="0"/>
    <n v="76380"/>
  </r>
  <r>
    <s v="CSKU18005_3ES"/>
    <x v="2"/>
    <x v="0"/>
    <x v="0"/>
    <x v="2"/>
    <x v="4"/>
    <x v="7"/>
    <x v="322"/>
    <x v="0"/>
    <x v="14"/>
    <x v="0"/>
    <n v="107420"/>
  </r>
  <r>
    <s v="CSKU18041_3ES"/>
    <x v="2"/>
    <x v="0"/>
    <x v="0"/>
    <x v="2"/>
    <x v="4"/>
    <x v="7"/>
    <x v="323"/>
    <x v="0"/>
    <x v="14"/>
    <x v="0"/>
    <n v="74600"/>
  </r>
  <r>
    <s v="CSKU18042_3ES"/>
    <x v="2"/>
    <x v="0"/>
    <x v="0"/>
    <x v="8"/>
    <x v="4"/>
    <x v="7"/>
    <x v="323"/>
    <x v="0"/>
    <x v="14"/>
    <x v="0"/>
    <n v="78160"/>
  </r>
  <r>
    <s v="CSKU18043_3ES"/>
    <x v="2"/>
    <x v="0"/>
    <x v="0"/>
    <x v="9"/>
    <x v="4"/>
    <x v="7"/>
    <x v="323"/>
    <x v="0"/>
    <x v="14"/>
    <x v="0"/>
    <n v="81700"/>
  </r>
  <r>
    <s v="CSKU18044_3ES"/>
    <x v="2"/>
    <x v="0"/>
    <x v="0"/>
    <x v="2"/>
    <x v="1"/>
    <x v="7"/>
    <x v="323"/>
    <x v="0"/>
    <x v="14"/>
    <x v="0"/>
    <n v="85270"/>
  </r>
  <r>
    <s v="CSKU18045_3ES"/>
    <x v="2"/>
    <x v="0"/>
    <x v="0"/>
    <x v="8"/>
    <x v="1"/>
    <x v="7"/>
    <x v="323"/>
    <x v="0"/>
    <x v="14"/>
    <x v="0"/>
    <n v="88830"/>
  </r>
  <r>
    <s v="CSKU18046_3ES"/>
    <x v="2"/>
    <x v="0"/>
    <x v="0"/>
    <x v="9"/>
    <x v="1"/>
    <x v="7"/>
    <x v="323"/>
    <x v="0"/>
    <x v="14"/>
    <x v="0"/>
    <n v="94140"/>
  </r>
  <r>
    <s v="CSKU18047_3ES"/>
    <x v="2"/>
    <x v="0"/>
    <x v="1"/>
    <x v="2"/>
    <x v="4"/>
    <x v="7"/>
    <x v="323"/>
    <x v="1"/>
    <x v="14"/>
    <x v="0"/>
    <n v="79710"/>
  </r>
  <r>
    <s v="CSKU18048_3ES"/>
    <x v="2"/>
    <x v="0"/>
    <x v="1"/>
    <x v="2"/>
    <x v="1"/>
    <x v="7"/>
    <x v="323"/>
    <x v="1"/>
    <x v="14"/>
    <x v="0"/>
    <n v="91450"/>
  </r>
  <r>
    <s v="CSKU18049_3ES"/>
    <x v="2"/>
    <x v="0"/>
    <x v="1"/>
    <x v="8"/>
    <x v="4"/>
    <x v="7"/>
    <x v="323"/>
    <x v="1"/>
    <x v="14"/>
    <x v="0"/>
    <n v="83690"/>
  </r>
  <r>
    <s v="CSKU18151_3ES"/>
    <x v="2"/>
    <x v="0"/>
    <x v="0"/>
    <x v="9"/>
    <x v="4"/>
    <x v="7"/>
    <x v="200"/>
    <x v="0"/>
    <x v="14"/>
    <x v="0"/>
    <n v="114520"/>
  </r>
  <r>
    <s v="CSKU18152_3ES"/>
    <x v="2"/>
    <x v="0"/>
    <x v="0"/>
    <x v="2"/>
    <x v="1"/>
    <x v="7"/>
    <x v="200"/>
    <x v="0"/>
    <x v="14"/>
    <x v="0"/>
    <n v="126070"/>
  </r>
  <r>
    <s v="CSKU18153_3ES"/>
    <x v="2"/>
    <x v="0"/>
    <x v="0"/>
    <x v="8"/>
    <x v="1"/>
    <x v="7"/>
    <x v="200"/>
    <x v="0"/>
    <x v="14"/>
    <x v="0"/>
    <n v="129630"/>
  </r>
  <r>
    <s v="CSKU18154_3ES"/>
    <x v="2"/>
    <x v="0"/>
    <x v="0"/>
    <x v="9"/>
    <x v="1"/>
    <x v="7"/>
    <x v="200"/>
    <x v="0"/>
    <x v="14"/>
    <x v="0"/>
    <n v="134940"/>
  </r>
  <r>
    <s v="CSKU18155_3ES"/>
    <x v="2"/>
    <x v="0"/>
    <x v="1"/>
    <x v="2"/>
    <x v="4"/>
    <x v="7"/>
    <x v="200"/>
    <x v="1"/>
    <x v="14"/>
    <x v="0"/>
    <n v="112530"/>
  </r>
  <r>
    <s v="CSKU18156_3ES"/>
    <x v="2"/>
    <x v="0"/>
    <x v="1"/>
    <x v="2"/>
    <x v="1"/>
    <x v="7"/>
    <x v="200"/>
    <x v="1"/>
    <x v="14"/>
    <x v="0"/>
    <n v="132250"/>
  </r>
  <r>
    <s v="CSKU18157_3ES"/>
    <x v="2"/>
    <x v="0"/>
    <x v="1"/>
    <x v="8"/>
    <x v="4"/>
    <x v="7"/>
    <x v="200"/>
    <x v="1"/>
    <x v="14"/>
    <x v="0"/>
    <n v="116510"/>
  </r>
  <r>
    <s v="CSKU18225_3ES"/>
    <x v="2"/>
    <x v="0"/>
    <x v="0"/>
    <x v="8"/>
    <x v="1"/>
    <x v="7"/>
    <x v="318"/>
    <x v="0"/>
    <x v="14"/>
    <x v="0"/>
    <n v="129630"/>
  </r>
  <r>
    <s v="CSKU18257_3ES"/>
    <x v="2"/>
    <x v="0"/>
    <x v="0"/>
    <x v="2"/>
    <x v="4"/>
    <x v="7"/>
    <x v="324"/>
    <x v="0"/>
    <x v="14"/>
    <x v="0"/>
    <n v="81620"/>
  </r>
  <r>
    <s v="CSKU18300_3ES"/>
    <x v="2"/>
    <x v="0"/>
    <x v="1"/>
    <x v="2"/>
    <x v="1"/>
    <x v="7"/>
    <x v="201"/>
    <x v="1"/>
    <x v="14"/>
    <x v="0"/>
    <n v="115780"/>
  </r>
  <r>
    <s v="CSKU18116_3ES"/>
    <x v="2"/>
    <x v="0"/>
    <x v="0"/>
    <x v="2"/>
    <x v="1"/>
    <x v="7"/>
    <x v="199"/>
    <x v="0"/>
    <x v="14"/>
    <x v="0"/>
    <n v="126070"/>
  </r>
  <r>
    <s v="CSKU18117_3ES"/>
    <x v="2"/>
    <x v="0"/>
    <x v="0"/>
    <x v="8"/>
    <x v="1"/>
    <x v="7"/>
    <x v="199"/>
    <x v="0"/>
    <x v="14"/>
    <x v="0"/>
    <n v="129630"/>
  </r>
  <r>
    <s v="CSKU18118_3ES"/>
    <x v="2"/>
    <x v="0"/>
    <x v="0"/>
    <x v="9"/>
    <x v="1"/>
    <x v="7"/>
    <x v="199"/>
    <x v="0"/>
    <x v="14"/>
    <x v="0"/>
    <n v="134940"/>
  </r>
  <r>
    <s v="CSKU18119_3ES"/>
    <x v="2"/>
    <x v="0"/>
    <x v="1"/>
    <x v="2"/>
    <x v="4"/>
    <x v="7"/>
    <x v="199"/>
    <x v="1"/>
    <x v="14"/>
    <x v="0"/>
    <n v="112530"/>
  </r>
  <r>
    <s v="CSKU18120_3ES"/>
    <x v="2"/>
    <x v="0"/>
    <x v="1"/>
    <x v="2"/>
    <x v="1"/>
    <x v="7"/>
    <x v="199"/>
    <x v="1"/>
    <x v="14"/>
    <x v="0"/>
    <n v="132250"/>
  </r>
  <r>
    <s v="CSKU18121_3ES"/>
    <x v="2"/>
    <x v="0"/>
    <x v="1"/>
    <x v="8"/>
    <x v="4"/>
    <x v="7"/>
    <x v="199"/>
    <x v="1"/>
    <x v="14"/>
    <x v="0"/>
    <n v="116510"/>
  </r>
  <r>
    <s v="CSKU18122_3ES"/>
    <x v="2"/>
    <x v="0"/>
    <x v="1"/>
    <x v="8"/>
    <x v="1"/>
    <x v="7"/>
    <x v="199"/>
    <x v="1"/>
    <x v="14"/>
    <x v="0"/>
    <n v="136220"/>
  </r>
  <r>
    <s v="CSKU18123_3ES"/>
    <x v="2"/>
    <x v="0"/>
    <x v="1"/>
    <x v="9"/>
    <x v="4"/>
    <x v="7"/>
    <x v="199"/>
    <x v="1"/>
    <x v="14"/>
    <x v="0"/>
    <n v="120480"/>
  </r>
  <r>
    <s v="CSKU18124_3ES"/>
    <x v="2"/>
    <x v="0"/>
    <x v="1"/>
    <x v="9"/>
    <x v="1"/>
    <x v="7"/>
    <x v="199"/>
    <x v="1"/>
    <x v="14"/>
    <x v="0"/>
    <n v="142180"/>
  </r>
  <r>
    <s v="CSKU18226_3ES"/>
    <x v="2"/>
    <x v="0"/>
    <x v="0"/>
    <x v="9"/>
    <x v="1"/>
    <x v="7"/>
    <x v="318"/>
    <x v="0"/>
    <x v="14"/>
    <x v="0"/>
    <n v="134940"/>
  </r>
  <r>
    <s v="CSKU18227_3ES"/>
    <x v="2"/>
    <x v="0"/>
    <x v="1"/>
    <x v="2"/>
    <x v="4"/>
    <x v="7"/>
    <x v="318"/>
    <x v="1"/>
    <x v="14"/>
    <x v="0"/>
    <n v="112530"/>
  </r>
  <r>
    <s v="CSKU18228_3ES"/>
    <x v="2"/>
    <x v="0"/>
    <x v="1"/>
    <x v="2"/>
    <x v="1"/>
    <x v="7"/>
    <x v="318"/>
    <x v="1"/>
    <x v="14"/>
    <x v="0"/>
    <n v="132250"/>
  </r>
  <r>
    <s v="CSKU18229_3ES"/>
    <x v="2"/>
    <x v="0"/>
    <x v="1"/>
    <x v="8"/>
    <x v="4"/>
    <x v="7"/>
    <x v="318"/>
    <x v="1"/>
    <x v="14"/>
    <x v="0"/>
    <n v="116510"/>
  </r>
  <r>
    <s v="CSKU18230_3ES"/>
    <x v="2"/>
    <x v="0"/>
    <x v="1"/>
    <x v="8"/>
    <x v="1"/>
    <x v="7"/>
    <x v="318"/>
    <x v="1"/>
    <x v="14"/>
    <x v="0"/>
    <n v="136220"/>
  </r>
  <r>
    <s v="CSKU18231_3ES"/>
    <x v="2"/>
    <x v="0"/>
    <x v="1"/>
    <x v="9"/>
    <x v="4"/>
    <x v="7"/>
    <x v="318"/>
    <x v="1"/>
    <x v="14"/>
    <x v="0"/>
    <n v="120480"/>
  </r>
  <r>
    <s v="CSKU18232_3ES"/>
    <x v="2"/>
    <x v="0"/>
    <x v="1"/>
    <x v="9"/>
    <x v="1"/>
    <x v="7"/>
    <x v="318"/>
    <x v="1"/>
    <x v="14"/>
    <x v="0"/>
    <n v="142180"/>
  </r>
  <r>
    <s v="CSKU18258_3ES"/>
    <x v="2"/>
    <x v="0"/>
    <x v="0"/>
    <x v="8"/>
    <x v="4"/>
    <x v="7"/>
    <x v="324"/>
    <x v="0"/>
    <x v="14"/>
    <x v="0"/>
    <n v="85180"/>
  </r>
  <r>
    <s v="CSKU18259_3ES"/>
    <x v="2"/>
    <x v="0"/>
    <x v="0"/>
    <x v="9"/>
    <x v="4"/>
    <x v="7"/>
    <x v="324"/>
    <x v="0"/>
    <x v="14"/>
    <x v="0"/>
    <n v="88720"/>
  </r>
  <r>
    <s v="CSKU18260_3ES"/>
    <x v="2"/>
    <x v="0"/>
    <x v="0"/>
    <x v="2"/>
    <x v="1"/>
    <x v="7"/>
    <x v="324"/>
    <x v="0"/>
    <x v="14"/>
    <x v="0"/>
    <n v="93130"/>
  </r>
  <r>
    <s v="CSKU18261_3ES"/>
    <x v="2"/>
    <x v="0"/>
    <x v="0"/>
    <x v="8"/>
    <x v="1"/>
    <x v="7"/>
    <x v="324"/>
    <x v="0"/>
    <x v="14"/>
    <x v="0"/>
    <n v="96690"/>
  </r>
  <r>
    <s v="CSKU18262_3ES"/>
    <x v="2"/>
    <x v="0"/>
    <x v="0"/>
    <x v="9"/>
    <x v="1"/>
    <x v="7"/>
    <x v="324"/>
    <x v="0"/>
    <x v="14"/>
    <x v="0"/>
    <n v="102000"/>
  </r>
  <r>
    <s v="CSKU18263_3ES"/>
    <x v="2"/>
    <x v="0"/>
    <x v="1"/>
    <x v="2"/>
    <x v="4"/>
    <x v="7"/>
    <x v="324"/>
    <x v="1"/>
    <x v="14"/>
    <x v="0"/>
    <n v="86730"/>
  </r>
  <r>
    <s v="CSKU18264_3ES"/>
    <x v="2"/>
    <x v="0"/>
    <x v="1"/>
    <x v="2"/>
    <x v="1"/>
    <x v="7"/>
    <x v="324"/>
    <x v="1"/>
    <x v="14"/>
    <x v="0"/>
    <n v="99310"/>
  </r>
  <r>
    <s v="CSKU18265_3ES"/>
    <x v="2"/>
    <x v="0"/>
    <x v="1"/>
    <x v="8"/>
    <x v="4"/>
    <x v="7"/>
    <x v="324"/>
    <x v="1"/>
    <x v="14"/>
    <x v="0"/>
    <n v="90710"/>
  </r>
  <r>
    <s v="CSKU18266_3ES"/>
    <x v="2"/>
    <x v="0"/>
    <x v="1"/>
    <x v="8"/>
    <x v="1"/>
    <x v="7"/>
    <x v="324"/>
    <x v="1"/>
    <x v="14"/>
    <x v="0"/>
    <n v="103280"/>
  </r>
  <r>
    <s v="CSKU18267_3ES"/>
    <x v="2"/>
    <x v="0"/>
    <x v="1"/>
    <x v="9"/>
    <x v="4"/>
    <x v="7"/>
    <x v="324"/>
    <x v="1"/>
    <x v="14"/>
    <x v="0"/>
    <n v="94680"/>
  </r>
  <r>
    <s v="CSKU18268_3ES"/>
    <x v="2"/>
    <x v="0"/>
    <x v="1"/>
    <x v="9"/>
    <x v="1"/>
    <x v="7"/>
    <x v="324"/>
    <x v="1"/>
    <x v="14"/>
    <x v="0"/>
    <n v="109240"/>
  </r>
  <r>
    <s v="CSKU18376_3ES"/>
    <x v="2"/>
    <x v="0"/>
    <x v="1"/>
    <x v="9"/>
    <x v="1"/>
    <x v="7"/>
    <x v="202"/>
    <x v="1"/>
    <x v="14"/>
    <x v="0"/>
    <n v="125710"/>
  </r>
  <r>
    <s v="CSKU18301_3ES"/>
    <x v="2"/>
    <x v="0"/>
    <x v="1"/>
    <x v="8"/>
    <x v="4"/>
    <x v="7"/>
    <x v="201"/>
    <x v="1"/>
    <x v="14"/>
    <x v="0"/>
    <n v="103610"/>
  </r>
  <r>
    <s v="CSKU18302_3ES"/>
    <x v="2"/>
    <x v="0"/>
    <x v="1"/>
    <x v="8"/>
    <x v="1"/>
    <x v="7"/>
    <x v="201"/>
    <x v="1"/>
    <x v="14"/>
    <x v="0"/>
    <n v="119750"/>
  </r>
  <r>
    <s v="CSKU18303_3ES"/>
    <x v="2"/>
    <x v="0"/>
    <x v="1"/>
    <x v="9"/>
    <x v="4"/>
    <x v="7"/>
    <x v="201"/>
    <x v="1"/>
    <x v="14"/>
    <x v="0"/>
    <n v="107580"/>
  </r>
  <r>
    <s v="CSKU18304_3ES"/>
    <x v="2"/>
    <x v="0"/>
    <x v="1"/>
    <x v="9"/>
    <x v="1"/>
    <x v="7"/>
    <x v="201"/>
    <x v="1"/>
    <x v="14"/>
    <x v="0"/>
    <n v="125710"/>
  </r>
  <r>
    <s v="CSKU18329_3ES"/>
    <x v="2"/>
    <x v="0"/>
    <x v="0"/>
    <x v="2"/>
    <x v="4"/>
    <x v="7"/>
    <x v="319"/>
    <x v="0"/>
    <x v="14"/>
    <x v="0"/>
    <n v="94520"/>
  </r>
  <r>
    <s v="CSKU18330_3ES"/>
    <x v="2"/>
    <x v="0"/>
    <x v="0"/>
    <x v="8"/>
    <x v="4"/>
    <x v="7"/>
    <x v="319"/>
    <x v="0"/>
    <x v="14"/>
    <x v="0"/>
    <n v="98080"/>
  </r>
  <r>
    <s v="CSKU18331_3ES"/>
    <x v="2"/>
    <x v="0"/>
    <x v="0"/>
    <x v="9"/>
    <x v="4"/>
    <x v="7"/>
    <x v="319"/>
    <x v="0"/>
    <x v="14"/>
    <x v="0"/>
    <n v="101620"/>
  </r>
  <r>
    <s v="CSKU18332_3ES"/>
    <x v="2"/>
    <x v="0"/>
    <x v="0"/>
    <x v="2"/>
    <x v="1"/>
    <x v="7"/>
    <x v="319"/>
    <x v="0"/>
    <x v="14"/>
    <x v="0"/>
    <n v="109600"/>
  </r>
  <r>
    <s v="CSKU18333_3ES"/>
    <x v="2"/>
    <x v="0"/>
    <x v="0"/>
    <x v="8"/>
    <x v="1"/>
    <x v="7"/>
    <x v="319"/>
    <x v="0"/>
    <x v="14"/>
    <x v="0"/>
    <n v="113160"/>
  </r>
  <r>
    <s v="CSKU18334_3ES"/>
    <x v="2"/>
    <x v="0"/>
    <x v="0"/>
    <x v="9"/>
    <x v="1"/>
    <x v="7"/>
    <x v="319"/>
    <x v="0"/>
    <x v="14"/>
    <x v="0"/>
    <n v="118470"/>
  </r>
  <r>
    <s v="CSKU18335_3ES"/>
    <x v="2"/>
    <x v="0"/>
    <x v="1"/>
    <x v="2"/>
    <x v="4"/>
    <x v="7"/>
    <x v="319"/>
    <x v="1"/>
    <x v="14"/>
    <x v="0"/>
    <n v="99630"/>
  </r>
  <r>
    <s v="CSKU18336_3ES"/>
    <x v="2"/>
    <x v="0"/>
    <x v="1"/>
    <x v="2"/>
    <x v="1"/>
    <x v="7"/>
    <x v="319"/>
    <x v="1"/>
    <x v="14"/>
    <x v="0"/>
    <n v="115780"/>
  </r>
  <r>
    <s v="CSKU18337_3ES"/>
    <x v="2"/>
    <x v="0"/>
    <x v="1"/>
    <x v="8"/>
    <x v="4"/>
    <x v="7"/>
    <x v="319"/>
    <x v="1"/>
    <x v="14"/>
    <x v="0"/>
    <n v="103610"/>
  </r>
  <r>
    <s v="CSKU18006_3ES"/>
    <x v="2"/>
    <x v="0"/>
    <x v="0"/>
    <x v="8"/>
    <x v="4"/>
    <x v="7"/>
    <x v="322"/>
    <x v="0"/>
    <x v="14"/>
    <x v="0"/>
    <n v="110980"/>
  </r>
  <r>
    <s v="CSKU18050_3ES"/>
    <x v="2"/>
    <x v="0"/>
    <x v="1"/>
    <x v="8"/>
    <x v="1"/>
    <x v="7"/>
    <x v="323"/>
    <x v="1"/>
    <x v="14"/>
    <x v="0"/>
    <n v="95420"/>
  </r>
  <r>
    <s v="CSKU18083_3ES"/>
    <x v="2"/>
    <x v="0"/>
    <x v="1"/>
    <x v="2"/>
    <x v="4"/>
    <x v="7"/>
    <x v="321"/>
    <x v="1"/>
    <x v="14"/>
    <x v="0"/>
    <n v="65670"/>
  </r>
  <r>
    <s v="CSKU17835_3ES"/>
    <x v="2"/>
    <x v="0"/>
    <x v="1"/>
    <x v="9"/>
    <x v="4"/>
    <x v="7"/>
    <x v="198"/>
    <x v="1"/>
    <x v="14"/>
    <x v="0"/>
    <n v="120480"/>
  </r>
  <r>
    <s v="CSKU17836_3ES"/>
    <x v="2"/>
    <x v="0"/>
    <x v="1"/>
    <x v="9"/>
    <x v="1"/>
    <x v="7"/>
    <x v="198"/>
    <x v="1"/>
    <x v="14"/>
    <x v="0"/>
    <n v="142180"/>
  </r>
  <r>
    <s v="CSKU17969_3ES"/>
    <x v="2"/>
    <x v="0"/>
    <x v="0"/>
    <x v="2"/>
    <x v="4"/>
    <x v="7"/>
    <x v="325"/>
    <x v="0"/>
    <x v="14"/>
    <x v="0"/>
    <n v="81620"/>
  </r>
  <r>
    <s v="CSKU17970_3ES"/>
    <x v="2"/>
    <x v="0"/>
    <x v="0"/>
    <x v="8"/>
    <x v="4"/>
    <x v="7"/>
    <x v="325"/>
    <x v="0"/>
    <x v="14"/>
    <x v="0"/>
    <n v="85180"/>
  </r>
  <r>
    <s v="CSKU17971_3ES"/>
    <x v="2"/>
    <x v="0"/>
    <x v="0"/>
    <x v="9"/>
    <x v="4"/>
    <x v="7"/>
    <x v="325"/>
    <x v="0"/>
    <x v="14"/>
    <x v="0"/>
    <n v="88720"/>
  </r>
  <r>
    <s v="CSKU18007_3ES"/>
    <x v="2"/>
    <x v="0"/>
    <x v="0"/>
    <x v="9"/>
    <x v="4"/>
    <x v="7"/>
    <x v="322"/>
    <x v="0"/>
    <x v="14"/>
    <x v="0"/>
    <n v="114520"/>
  </r>
  <r>
    <s v="CSKU18008_3ES"/>
    <x v="2"/>
    <x v="0"/>
    <x v="0"/>
    <x v="2"/>
    <x v="1"/>
    <x v="7"/>
    <x v="322"/>
    <x v="0"/>
    <x v="14"/>
    <x v="0"/>
    <n v="126070"/>
  </r>
  <r>
    <s v="CSKU18009_3ES"/>
    <x v="2"/>
    <x v="0"/>
    <x v="0"/>
    <x v="8"/>
    <x v="1"/>
    <x v="7"/>
    <x v="322"/>
    <x v="0"/>
    <x v="14"/>
    <x v="0"/>
    <n v="129630"/>
  </r>
  <r>
    <s v="CSKU18010_3ES"/>
    <x v="2"/>
    <x v="0"/>
    <x v="0"/>
    <x v="9"/>
    <x v="1"/>
    <x v="7"/>
    <x v="322"/>
    <x v="0"/>
    <x v="14"/>
    <x v="0"/>
    <n v="134940"/>
  </r>
  <r>
    <s v="CSKU18011_3ES"/>
    <x v="2"/>
    <x v="0"/>
    <x v="1"/>
    <x v="2"/>
    <x v="4"/>
    <x v="7"/>
    <x v="322"/>
    <x v="1"/>
    <x v="14"/>
    <x v="0"/>
    <n v="112530"/>
  </r>
  <r>
    <s v="CSKU18012_3ES"/>
    <x v="2"/>
    <x v="0"/>
    <x v="1"/>
    <x v="2"/>
    <x v="1"/>
    <x v="7"/>
    <x v="322"/>
    <x v="1"/>
    <x v="14"/>
    <x v="0"/>
    <n v="132250"/>
  </r>
  <r>
    <s v="CSKU18013_3ES"/>
    <x v="2"/>
    <x v="0"/>
    <x v="1"/>
    <x v="8"/>
    <x v="4"/>
    <x v="7"/>
    <x v="322"/>
    <x v="1"/>
    <x v="14"/>
    <x v="0"/>
    <n v="116510"/>
  </r>
  <r>
    <s v="CSKU18014_3ES"/>
    <x v="2"/>
    <x v="0"/>
    <x v="1"/>
    <x v="8"/>
    <x v="1"/>
    <x v="7"/>
    <x v="322"/>
    <x v="1"/>
    <x v="14"/>
    <x v="0"/>
    <n v="136220"/>
  </r>
  <r>
    <s v="CSKU18015_3ES"/>
    <x v="2"/>
    <x v="0"/>
    <x v="1"/>
    <x v="9"/>
    <x v="4"/>
    <x v="7"/>
    <x v="322"/>
    <x v="1"/>
    <x v="14"/>
    <x v="0"/>
    <n v="120480"/>
  </r>
  <r>
    <s v="CSKU18016_3ES"/>
    <x v="2"/>
    <x v="0"/>
    <x v="1"/>
    <x v="9"/>
    <x v="1"/>
    <x v="7"/>
    <x v="322"/>
    <x v="1"/>
    <x v="14"/>
    <x v="0"/>
    <n v="142180"/>
  </r>
  <r>
    <s v="CSKU18051_3ES"/>
    <x v="2"/>
    <x v="0"/>
    <x v="1"/>
    <x v="9"/>
    <x v="4"/>
    <x v="7"/>
    <x v="323"/>
    <x v="1"/>
    <x v="14"/>
    <x v="0"/>
    <n v="87660"/>
  </r>
  <r>
    <s v="CSKU18052_3ES"/>
    <x v="2"/>
    <x v="0"/>
    <x v="1"/>
    <x v="9"/>
    <x v="1"/>
    <x v="7"/>
    <x v="323"/>
    <x v="1"/>
    <x v="14"/>
    <x v="0"/>
    <n v="101380"/>
  </r>
  <r>
    <s v="CSKU18084_3ES"/>
    <x v="2"/>
    <x v="0"/>
    <x v="1"/>
    <x v="8"/>
    <x v="4"/>
    <x v="7"/>
    <x v="321"/>
    <x v="1"/>
    <x v="14"/>
    <x v="0"/>
    <n v="69650"/>
  </r>
  <r>
    <s v="CSKU18085_3ES"/>
    <x v="2"/>
    <x v="0"/>
    <x v="1"/>
    <x v="9"/>
    <x v="4"/>
    <x v="7"/>
    <x v="321"/>
    <x v="1"/>
    <x v="14"/>
    <x v="0"/>
    <n v="73620"/>
  </r>
  <r>
    <s v="CSKU18086_3ES"/>
    <x v="2"/>
    <x v="0"/>
    <x v="1"/>
    <x v="2"/>
    <x v="1"/>
    <x v="7"/>
    <x v="321"/>
    <x v="1"/>
    <x v="14"/>
    <x v="0"/>
    <n v="75610"/>
  </r>
  <r>
    <s v="CSKU18087_3ES"/>
    <x v="2"/>
    <x v="0"/>
    <x v="1"/>
    <x v="8"/>
    <x v="1"/>
    <x v="7"/>
    <x v="321"/>
    <x v="1"/>
    <x v="14"/>
    <x v="0"/>
    <n v="79580"/>
  </r>
  <r>
    <s v="CSKU18088_3ES"/>
    <x v="2"/>
    <x v="0"/>
    <x v="1"/>
    <x v="9"/>
    <x v="1"/>
    <x v="7"/>
    <x v="321"/>
    <x v="1"/>
    <x v="14"/>
    <x v="0"/>
    <n v="85540"/>
  </r>
  <r>
    <s v="CSKU18185_3ES"/>
    <x v="2"/>
    <x v="0"/>
    <x v="0"/>
    <x v="2"/>
    <x v="4"/>
    <x v="7"/>
    <x v="326"/>
    <x v="0"/>
    <x v="14"/>
    <x v="0"/>
    <n v="107420"/>
  </r>
  <r>
    <s v="CSKU18186_3ES"/>
    <x v="2"/>
    <x v="0"/>
    <x v="0"/>
    <x v="8"/>
    <x v="4"/>
    <x v="7"/>
    <x v="326"/>
    <x v="0"/>
    <x v="14"/>
    <x v="0"/>
    <n v="110980"/>
  </r>
  <r>
    <s v="CSKU18187_3ES"/>
    <x v="2"/>
    <x v="0"/>
    <x v="0"/>
    <x v="9"/>
    <x v="4"/>
    <x v="7"/>
    <x v="326"/>
    <x v="0"/>
    <x v="14"/>
    <x v="0"/>
    <n v="114520"/>
  </r>
  <r>
    <s v="CSKU18188_3ES"/>
    <x v="2"/>
    <x v="0"/>
    <x v="0"/>
    <x v="2"/>
    <x v="1"/>
    <x v="7"/>
    <x v="326"/>
    <x v="0"/>
    <x v="14"/>
    <x v="0"/>
    <n v="126070"/>
  </r>
  <r>
    <s v="CSKU18189_3ES"/>
    <x v="2"/>
    <x v="0"/>
    <x v="0"/>
    <x v="8"/>
    <x v="1"/>
    <x v="7"/>
    <x v="326"/>
    <x v="0"/>
    <x v="14"/>
    <x v="0"/>
    <n v="129630"/>
  </r>
  <r>
    <s v="CSKU18190_3ES"/>
    <x v="2"/>
    <x v="0"/>
    <x v="0"/>
    <x v="9"/>
    <x v="1"/>
    <x v="7"/>
    <x v="326"/>
    <x v="0"/>
    <x v="14"/>
    <x v="0"/>
    <n v="134940"/>
  </r>
  <r>
    <s v="CSKU18191_3ES"/>
    <x v="2"/>
    <x v="0"/>
    <x v="1"/>
    <x v="2"/>
    <x v="4"/>
    <x v="7"/>
    <x v="326"/>
    <x v="1"/>
    <x v="14"/>
    <x v="0"/>
    <n v="112530"/>
  </r>
  <r>
    <s v="CSKU18192_3ES"/>
    <x v="2"/>
    <x v="0"/>
    <x v="1"/>
    <x v="2"/>
    <x v="1"/>
    <x v="7"/>
    <x v="326"/>
    <x v="1"/>
    <x v="14"/>
    <x v="0"/>
    <n v="132250"/>
  </r>
  <r>
    <s v="CSKU18193_3ES"/>
    <x v="2"/>
    <x v="0"/>
    <x v="1"/>
    <x v="8"/>
    <x v="4"/>
    <x v="7"/>
    <x v="326"/>
    <x v="1"/>
    <x v="14"/>
    <x v="0"/>
    <n v="116510"/>
  </r>
  <r>
    <s v="CSKU18113_3ES"/>
    <x v="2"/>
    <x v="0"/>
    <x v="0"/>
    <x v="2"/>
    <x v="4"/>
    <x v="7"/>
    <x v="199"/>
    <x v="0"/>
    <x v="14"/>
    <x v="0"/>
    <n v="107420"/>
  </r>
  <r>
    <s v="CSKU18114_3ES"/>
    <x v="2"/>
    <x v="0"/>
    <x v="0"/>
    <x v="8"/>
    <x v="4"/>
    <x v="7"/>
    <x v="199"/>
    <x v="0"/>
    <x v="14"/>
    <x v="0"/>
    <n v="110980"/>
  </r>
  <r>
    <s v="CSKU18194_3ES"/>
    <x v="2"/>
    <x v="0"/>
    <x v="1"/>
    <x v="8"/>
    <x v="1"/>
    <x v="7"/>
    <x v="326"/>
    <x v="1"/>
    <x v="14"/>
    <x v="0"/>
    <n v="136220"/>
  </r>
  <r>
    <s v="CSKU18149_3ES"/>
    <x v="2"/>
    <x v="0"/>
    <x v="0"/>
    <x v="2"/>
    <x v="4"/>
    <x v="7"/>
    <x v="200"/>
    <x v="0"/>
    <x v="14"/>
    <x v="0"/>
    <n v="107420"/>
  </r>
  <r>
    <s v="CSKU18150_3ES"/>
    <x v="2"/>
    <x v="0"/>
    <x v="0"/>
    <x v="8"/>
    <x v="4"/>
    <x v="7"/>
    <x v="200"/>
    <x v="0"/>
    <x v="14"/>
    <x v="0"/>
    <n v="110980"/>
  </r>
  <r>
    <s v="CSKU17795_3ES"/>
    <x v="2"/>
    <x v="0"/>
    <x v="1"/>
    <x v="2"/>
    <x v="4"/>
    <x v="7"/>
    <x v="197"/>
    <x v="1"/>
    <x v="14"/>
    <x v="0"/>
    <n v="81290"/>
  </r>
  <r>
    <s v="CSKU17796_3ES"/>
    <x v="2"/>
    <x v="0"/>
    <x v="1"/>
    <x v="2"/>
    <x v="1"/>
    <x v="7"/>
    <x v="197"/>
    <x v="1"/>
    <x v="14"/>
    <x v="0"/>
    <n v="94490"/>
  </r>
  <r>
    <s v="CSKU17797_3ES"/>
    <x v="2"/>
    <x v="0"/>
    <x v="1"/>
    <x v="8"/>
    <x v="4"/>
    <x v="7"/>
    <x v="197"/>
    <x v="1"/>
    <x v="14"/>
    <x v="0"/>
    <n v="85270"/>
  </r>
  <r>
    <s v="CSKU17798_3ES"/>
    <x v="2"/>
    <x v="0"/>
    <x v="1"/>
    <x v="8"/>
    <x v="1"/>
    <x v="7"/>
    <x v="197"/>
    <x v="1"/>
    <x v="14"/>
    <x v="0"/>
    <n v="98460"/>
  </r>
  <r>
    <s v="CSKU17799_3ES"/>
    <x v="2"/>
    <x v="0"/>
    <x v="1"/>
    <x v="9"/>
    <x v="4"/>
    <x v="7"/>
    <x v="197"/>
    <x v="1"/>
    <x v="14"/>
    <x v="0"/>
    <n v="89240"/>
  </r>
  <r>
    <s v="CSKU17800_3ES"/>
    <x v="2"/>
    <x v="0"/>
    <x v="1"/>
    <x v="9"/>
    <x v="1"/>
    <x v="7"/>
    <x v="197"/>
    <x v="1"/>
    <x v="14"/>
    <x v="0"/>
    <n v="104420"/>
  </r>
  <r>
    <s v="CSKU17685_3ES"/>
    <x v="2"/>
    <x v="0"/>
    <x v="0"/>
    <x v="8"/>
    <x v="1"/>
    <x v="7"/>
    <x v="194"/>
    <x v="0"/>
    <x v="14"/>
    <x v="0"/>
    <n v="129630"/>
  </r>
  <r>
    <s v="CSKU17686_3ES"/>
    <x v="2"/>
    <x v="0"/>
    <x v="0"/>
    <x v="9"/>
    <x v="1"/>
    <x v="7"/>
    <x v="194"/>
    <x v="0"/>
    <x v="14"/>
    <x v="0"/>
    <n v="134940"/>
  </r>
  <r>
    <s v="CSKU17687_3ES"/>
    <x v="2"/>
    <x v="0"/>
    <x v="1"/>
    <x v="2"/>
    <x v="4"/>
    <x v="7"/>
    <x v="194"/>
    <x v="1"/>
    <x v="14"/>
    <x v="0"/>
    <n v="112530"/>
  </r>
  <r>
    <s v="CSKU17688_3ES"/>
    <x v="2"/>
    <x v="0"/>
    <x v="1"/>
    <x v="2"/>
    <x v="1"/>
    <x v="7"/>
    <x v="194"/>
    <x v="1"/>
    <x v="14"/>
    <x v="0"/>
    <n v="132250"/>
  </r>
  <r>
    <s v="CSKU17689_3ES"/>
    <x v="2"/>
    <x v="0"/>
    <x v="1"/>
    <x v="8"/>
    <x v="4"/>
    <x v="7"/>
    <x v="194"/>
    <x v="1"/>
    <x v="14"/>
    <x v="0"/>
    <n v="116510"/>
  </r>
  <r>
    <s v="CSKU17690_3ES"/>
    <x v="2"/>
    <x v="0"/>
    <x v="1"/>
    <x v="8"/>
    <x v="1"/>
    <x v="7"/>
    <x v="194"/>
    <x v="1"/>
    <x v="14"/>
    <x v="0"/>
    <n v="136220"/>
  </r>
  <r>
    <s v="CSKU17691_3ES"/>
    <x v="2"/>
    <x v="0"/>
    <x v="1"/>
    <x v="9"/>
    <x v="4"/>
    <x v="7"/>
    <x v="194"/>
    <x v="1"/>
    <x v="14"/>
    <x v="0"/>
    <n v="120480"/>
  </r>
  <r>
    <s v="CSKU17692_3ES"/>
    <x v="2"/>
    <x v="0"/>
    <x v="1"/>
    <x v="9"/>
    <x v="1"/>
    <x v="7"/>
    <x v="194"/>
    <x v="1"/>
    <x v="14"/>
    <x v="0"/>
    <n v="142180"/>
  </r>
  <r>
    <s v="CSKU17723_3ES"/>
    <x v="2"/>
    <x v="0"/>
    <x v="1"/>
    <x v="2"/>
    <x v="4"/>
    <x v="7"/>
    <x v="195"/>
    <x v="1"/>
    <x v="14"/>
    <x v="0"/>
    <n v="90650"/>
  </r>
  <r>
    <s v="CSKU17724_3ES"/>
    <x v="2"/>
    <x v="0"/>
    <x v="1"/>
    <x v="2"/>
    <x v="1"/>
    <x v="7"/>
    <x v="195"/>
    <x v="1"/>
    <x v="14"/>
    <x v="0"/>
    <n v="105050"/>
  </r>
  <r>
    <s v="CSKU17725_3ES"/>
    <x v="2"/>
    <x v="0"/>
    <x v="1"/>
    <x v="8"/>
    <x v="4"/>
    <x v="7"/>
    <x v="195"/>
    <x v="1"/>
    <x v="14"/>
    <x v="0"/>
    <n v="94630"/>
  </r>
  <r>
    <s v="CSKU17726_3ES"/>
    <x v="2"/>
    <x v="0"/>
    <x v="1"/>
    <x v="8"/>
    <x v="1"/>
    <x v="7"/>
    <x v="195"/>
    <x v="1"/>
    <x v="14"/>
    <x v="0"/>
    <n v="109020"/>
  </r>
  <r>
    <s v="CSKU17727_3ES"/>
    <x v="2"/>
    <x v="0"/>
    <x v="1"/>
    <x v="9"/>
    <x v="4"/>
    <x v="7"/>
    <x v="195"/>
    <x v="1"/>
    <x v="14"/>
    <x v="0"/>
    <n v="98600"/>
  </r>
  <r>
    <s v="CSKU17728_3ES"/>
    <x v="2"/>
    <x v="0"/>
    <x v="1"/>
    <x v="9"/>
    <x v="1"/>
    <x v="7"/>
    <x v="195"/>
    <x v="1"/>
    <x v="14"/>
    <x v="0"/>
    <n v="114980"/>
  </r>
  <r>
    <s v="CSKU17755_3ES"/>
    <x v="2"/>
    <x v="0"/>
    <x v="0"/>
    <x v="9"/>
    <x v="4"/>
    <x v="7"/>
    <x v="196"/>
    <x v="0"/>
    <x v="14"/>
    <x v="0"/>
    <n v="92640"/>
  </r>
  <r>
    <s v="CSKU17756_3ES"/>
    <x v="2"/>
    <x v="0"/>
    <x v="0"/>
    <x v="2"/>
    <x v="1"/>
    <x v="7"/>
    <x v="196"/>
    <x v="0"/>
    <x v="14"/>
    <x v="0"/>
    <n v="98870"/>
  </r>
  <r>
    <s v="CSKU17757_3ES"/>
    <x v="2"/>
    <x v="0"/>
    <x v="0"/>
    <x v="8"/>
    <x v="1"/>
    <x v="7"/>
    <x v="196"/>
    <x v="0"/>
    <x v="14"/>
    <x v="0"/>
    <n v="102430"/>
  </r>
  <r>
    <s v="CSKU17758_3ES"/>
    <x v="2"/>
    <x v="0"/>
    <x v="0"/>
    <x v="9"/>
    <x v="1"/>
    <x v="7"/>
    <x v="196"/>
    <x v="0"/>
    <x v="14"/>
    <x v="0"/>
    <n v="107740"/>
  </r>
  <r>
    <s v="CSKU17759_3ES"/>
    <x v="2"/>
    <x v="0"/>
    <x v="1"/>
    <x v="2"/>
    <x v="4"/>
    <x v="7"/>
    <x v="196"/>
    <x v="1"/>
    <x v="14"/>
    <x v="0"/>
    <n v="90650"/>
  </r>
  <r>
    <s v="CSKU17760_3ES"/>
    <x v="2"/>
    <x v="0"/>
    <x v="1"/>
    <x v="2"/>
    <x v="1"/>
    <x v="7"/>
    <x v="196"/>
    <x v="1"/>
    <x v="14"/>
    <x v="0"/>
    <n v="105050"/>
  </r>
  <r>
    <s v="CSKU17761_3ES"/>
    <x v="2"/>
    <x v="0"/>
    <x v="1"/>
    <x v="8"/>
    <x v="4"/>
    <x v="7"/>
    <x v="196"/>
    <x v="1"/>
    <x v="14"/>
    <x v="0"/>
    <n v="94630"/>
  </r>
  <r>
    <s v="CSKU17762_3ES"/>
    <x v="2"/>
    <x v="0"/>
    <x v="1"/>
    <x v="8"/>
    <x v="1"/>
    <x v="7"/>
    <x v="196"/>
    <x v="1"/>
    <x v="14"/>
    <x v="0"/>
    <n v="109020"/>
  </r>
  <r>
    <s v="CSKU17763_3ES"/>
    <x v="2"/>
    <x v="0"/>
    <x v="1"/>
    <x v="9"/>
    <x v="4"/>
    <x v="7"/>
    <x v="196"/>
    <x v="1"/>
    <x v="14"/>
    <x v="0"/>
    <n v="98600"/>
  </r>
  <r>
    <s v="CSKU17764_3ES"/>
    <x v="2"/>
    <x v="0"/>
    <x v="1"/>
    <x v="9"/>
    <x v="1"/>
    <x v="7"/>
    <x v="196"/>
    <x v="1"/>
    <x v="14"/>
    <x v="0"/>
    <n v="114980"/>
  </r>
  <r>
    <s v="CSKU17827_3ES"/>
    <x v="2"/>
    <x v="0"/>
    <x v="0"/>
    <x v="9"/>
    <x v="4"/>
    <x v="7"/>
    <x v="198"/>
    <x v="0"/>
    <x v="14"/>
    <x v="0"/>
    <n v="114520"/>
  </r>
  <r>
    <s v="CSKU17828_3ES"/>
    <x v="2"/>
    <x v="0"/>
    <x v="0"/>
    <x v="2"/>
    <x v="1"/>
    <x v="7"/>
    <x v="198"/>
    <x v="0"/>
    <x v="14"/>
    <x v="0"/>
    <n v="126070"/>
  </r>
  <r>
    <s v="CSKU17829_3ES"/>
    <x v="2"/>
    <x v="0"/>
    <x v="0"/>
    <x v="8"/>
    <x v="1"/>
    <x v="7"/>
    <x v="198"/>
    <x v="0"/>
    <x v="14"/>
    <x v="0"/>
    <n v="129630"/>
  </r>
  <r>
    <s v="CSKU17830_3ES"/>
    <x v="2"/>
    <x v="0"/>
    <x v="0"/>
    <x v="9"/>
    <x v="1"/>
    <x v="7"/>
    <x v="198"/>
    <x v="0"/>
    <x v="14"/>
    <x v="0"/>
    <n v="134940"/>
  </r>
  <r>
    <s v="CSKU17831_3ES"/>
    <x v="2"/>
    <x v="0"/>
    <x v="1"/>
    <x v="2"/>
    <x v="4"/>
    <x v="7"/>
    <x v="198"/>
    <x v="1"/>
    <x v="14"/>
    <x v="0"/>
    <n v="112530"/>
  </r>
  <r>
    <s v="CSKU17832_3ES"/>
    <x v="2"/>
    <x v="0"/>
    <x v="1"/>
    <x v="2"/>
    <x v="1"/>
    <x v="7"/>
    <x v="198"/>
    <x v="1"/>
    <x v="14"/>
    <x v="0"/>
    <n v="132250"/>
  </r>
  <r>
    <s v="CSKU17833_3ES"/>
    <x v="2"/>
    <x v="0"/>
    <x v="1"/>
    <x v="8"/>
    <x v="4"/>
    <x v="7"/>
    <x v="198"/>
    <x v="1"/>
    <x v="14"/>
    <x v="0"/>
    <n v="116510"/>
  </r>
  <r>
    <s v="CSKU17897_3ES"/>
    <x v="2"/>
    <x v="0"/>
    <x v="0"/>
    <x v="2"/>
    <x v="4"/>
    <x v="7"/>
    <x v="327"/>
    <x v="0"/>
    <x v="14"/>
    <x v="0"/>
    <n v="90220"/>
  </r>
  <r>
    <s v="CSKU17898_3ES"/>
    <x v="2"/>
    <x v="0"/>
    <x v="0"/>
    <x v="8"/>
    <x v="4"/>
    <x v="7"/>
    <x v="327"/>
    <x v="0"/>
    <x v="14"/>
    <x v="0"/>
    <n v="93780"/>
  </r>
  <r>
    <s v="CSKU17899_3ES"/>
    <x v="2"/>
    <x v="0"/>
    <x v="0"/>
    <x v="9"/>
    <x v="4"/>
    <x v="7"/>
    <x v="327"/>
    <x v="0"/>
    <x v="14"/>
    <x v="0"/>
    <n v="97320"/>
  </r>
  <r>
    <s v="CSKU17900_3ES"/>
    <x v="2"/>
    <x v="0"/>
    <x v="0"/>
    <x v="2"/>
    <x v="1"/>
    <x v="7"/>
    <x v="327"/>
    <x v="0"/>
    <x v="14"/>
    <x v="0"/>
    <n v="104110"/>
  </r>
  <r>
    <s v="CSKU17901_3ES"/>
    <x v="2"/>
    <x v="0"/>
    <x v="0"/>
    <x v="8"/>
    <x v="1"/>
    <x v="7"/>
    <x v="327"/>
    <x v="0"/>
    <x v="14"/>
    <x v="0"/>
    <n v="107670"/>
  </r>
  <r>
    <s v="CSKU17902_3ES"/>
    <x v="2"/>
    <x v="0"/>
    <x v="0"/>
    <x v="9"/>
    <x v="1"/>
    <x v="7"/>
    <x v="327"/>
    <x v="0"/>
    <x v="14"/>
    <x v="0"/>
    <n v="112980"/>
  </r>
  <r>
    <s v="CSKU17903_3ES"/>
    <x v="2"/>
    <x v="0"/>
    <x v="1"/>
    <x v="2"/>
    <x v="4"/>
    <x v="7"/>
    <x v="327"/>
    <x v="1"/>
    <x v="14"/>
    <x v="0"/>
    <n v="95330"/>
  </r>
  <r>
    <s v="CSKU17904_3ES"/>
    <x v="2"/>
    <x v="0"/>
    <x v="1"/>
    <x v="2"/>
    <x v="1"/>
    <x v="7"/>
    <x v="327"/>
    <x v="1"/>
    <x v="14"/>
    <x v="0"/>
    <n v="110290"/>
  </r>
  <r>
    <s v="CSKU17905_3ES"/>
    <x v="2"/>
    <x v="0"/>
    <x v="1"/>
    <x v="8"/>
    <x v="4"/>
    <x v="7"/>
    <x v="327"/>
    <x v="1"/>
    <x v="14"/>
    <x v="0"/>
    <n v="99310"/>
  </r>
  <r>
    <s v="CSKU17906_3ES"/>
    <x v="2"/>
    <x v="0"/>
    <x v="1"/>
    <x v="8"/>
    <x v="1"/>
    <x v="7"/>
    <x v="327"/>
    <x v="1"/>
    <x v="14"/>
    <x v="0"/>
    <n v="114260"/>
  </r>
  <r>
    <s v="CSKU17907_3ES"/>
    <x v="2"/>
    <x v="0"/>
    <x v="1"/>
    <x v="9"/>
    <x v="4"/>
    <x v="7"/>
    <x v="327"/>
    <x v="1"/>
    <x v="14"/>
    <x v="0"/>
    <n v="103280"/>
  </r>
  <r>
    <s v="CSKU17908_3ES"/>
    <x v="2"/>
    <x v="0"/>
    <x v="1"/>
    <x v="9"/>
    <x v="1"/>
    <x v="7"/>
    <x v="327"/>
    <x v="1"/>
    <x v="14"/>
    <x v="0"/>
    <n v="120220"/>
  </r>
  <r>
    <s v="CSKU17933_3ES"/>
    <x v="2"/>
    <x v="0"/>
    <x v="0"/>
    <x v="2"/>
    <x v="4"/>
    <x v="7"/>
    <x v="328"/>
    <x v="0"/>
    <x v="14"/>
    <x v="0"/>
    <n v="107420"/>
  </r>
  <r>
    <s v="CSKU17934_3ES"/>
    <x v="2"/>
    <x v="0"/>
    <x v="0"/>
    <x v="8"/>
    <x v="4"/>
    <x v="7"/>
    <x v="328"/>
    <x v="0"/>
    <x v="14"/>
    <x v="0"/>
    <n v="110980"/>
  </r>
  <r>
    <s v="CSKU17935_3ES"/>
    <x v="2"/>
    <x v="0"/>
    <x v="0"/>
    <x v="9"/>
    <x v="4"/>
    <x v="7"/>
    <x v="328"/>
    <x v="0"/>
    <x v="14"/>
    <x v="0"/>
    <n v="114520"/>
  </r>
  <r>
    <s v="CSKU17936_3ES"/>
    <x v="2"/>
    <x v="0"/>
    <x v="0"/>
    <x v="2"/>
    <x v="1"/>
    <x v="7"/>
    <x v="328"/>
    <x v="0"/>
    <x v="14"/>
    <x v="0"/>
    <n v="126070"/>
  </r>
  <r>
    <s v="CSKU17937_3ES"/>
    <x v="2"/>
    <x v="0"/>
    <x v="0"/>
    <x v="8"/>
    <x v="1"/>
    <x v="7"/>
    <x v="328"/>
    <x v="0"/>
    <x v="14"/>
    <x v="0"/>
    <n v="129630"/>
  </r>
  <r>
    <s v="CSKU17938_3ES"/>
    <x v="2"/>
    <x v="0"/>
    <x v="0"/>
    <x v="9"/>
    <x v="1"/>
    <x v="7"/>
    <x v="328"/>
    <x v="0"/>
    <x v="14"/>
    <x v="0"/>
    <n v="134940"/>
  </r>
  <r>
    <s v="CSKU17939_3ES"/>
    <x v="2"/>
    <x v="0"/>
    <x v="1"/>
    <x v="2"/>
    <x v="4"/>
    <x v="7"/>
    <x v="328"/>
    <x v="1"/>
    <x v="14"/>
    <x v="0"/>
    <n v="112530"/>
  </r>
  <r>
    <s v="CSKU17940_3ES"/>
    <x v="2"/>
    <x v="0"/>
    <x v="1"/>
    <x v="2"/>
    <x v="1"/>
    <x v="7"/>
    <x v="328"/>
    <x v="1"/>
    <x v="14"/>
    <x v="0"/>
    <n v="132250"/>
  </r>
  <r>
    <s v="CSKU17941_3ES"/>
    <x v="2"/>
    <x v="0"/>
    <x v="1"/>
    <x v="8"/>
    <x v="4"/>
    <x v="7"/>
    <x v="328"/>
    <x v="1"/>
    <x v="14"/>
    <x v="0"/>
    <n v="116510"/>
  </r>
  <r>
    <s v="CSKU18195_3ES"/>
    <x v="2"/>
    <x v="0"/>
    <x v="1"/>
    <x v="9"/>
    <x v="4"/>
    <x v="7"/>
    <x v="326"/>
    <x v="1"/>
    <x v="14"/>
    <x v="0"/>
    <n v="120480"/>
  </r>
  <r>
    <s v="CSKU18196_3ES"/>
    <x v="2"/>
    <x v="0"/>
    <x v="1"/>
    <x v="9"/>
    <x v="1"/>
    <x v="7"/>
    <x v="326"/>
    <x v="1"/>
    <x v="14"/>
    <x v="0"/>
    <n v="142180"/>
  </r>
  <r>
    <s v="CSKU17942_3ES"/>
    <x v="2"/>
    <x v="0"/>
    <x v="1"/>
    <x v="8"/>
    <x v="1"/>
    <x v="7"/>
    <x v="328"/>
    <x v="1"/>
    <x v="14"/>
    <x v="0"/>
    <n v="136220"/>
  </r>
  <r>
    <s v="CSKU17972_3ES"/>
    <x v="2"/>
    <x v="0"/>
    <x v="0"/>
    <x v="2"/>
    <x v="1"/>
    <x v="7"/>
    <x v="325"/>
    <x v="0"/>
    <x v="14"/>
    <x v="0"/>
    <n v="93130"/>
  </r>
  <r>
    <s v="CSKU17943_3ES"/>
    <x v="2"/>
    <x v="0"/>
    <x v="1"/>
    <x v="9"/>
    <x v="4"/>
    <x v="7"/>
    <x v="328"/>
    <x v="1"/>
    <x v="14"/>
    <x v="0"/>
    <n v="120480"/>
  </r>
  <r>
    <s v="CSKU17944_3ES"/>
    <x v="2"/>
    <x v="0"/>
    <x v="1"/>
    <x v="9"/>
    <x v="1"/>
    <x v="7"/>
    <x v="328"/>
    <x v="1"/>
    <x v="14"/>
    <x v="0"/>
    <n v="142180"/>
  </r>
  <r>
    <s v="CSKU17973_3ES"/>
    <x v="2"/>
    <x v="0"/>
    <x v="0"/>
    <x v="8"/>
    <x v="1"/>
    <x v="7"/>
    <x v="325"/>
    <x v="0"/>
    <x v="14"/>
    <x v="0"/>
    <n v="96690"/>
  </r>
  <r>
    <s v="CSKU17974_3ES"/>
    <x v="2"/>
    <x v="0"/>
    <x v="0"/>
    <x v="9"/>
    <x v="1"/>
    <x v="7"/>
    <x v="325"/>
    <x v="0"/>
    <x v="14"/>
    <x v="0"/>
    <n v="102000"/>
  </r>
  <r>
    <s v="CSKU17975_3ES"/>
    <x v="2"/>
    <x v="0"/>
    <x v="1"/>
    <x v="2"/>
    <x v="4"/>
    <x v="7"/>
    <x v="325"/>
    <x v="1"/>
    <x v="14"/>
    <x v="0"/>
    <n v="86730"/>
  </r>
  <r>
    <s v="CSKU17976_3ES"/>
    <x v="2"/>
    <x v="0"/>
    <x v="1"/>
    <x v="2"/>
    <x v="1"/>
    <x v="7"/>
    <x v="325"/>
    <x v="1"/>
    <x v="14"/>
    <x v="0"/>
    <n v="99310"/>
  </r>
  <r>
    <s v="CSKU17977_3ES"/>
    <x v="2"/>
    <x v="0"/>
    <x v="1"/>
    <x v="8"/>
    <x v="4"/>
    <x v="7"/>
    <x v="325"/>
    <x v="1"/>
    <x v="14"/>
    <x v="0"/>
    <n v="90710"/>
  </r>
  <r>
    <s v="CSKU17978_3ES"/>
    <x v="2"/>
    <x v="0"/>
    <x v="1"/>
    <x v="8"/>
    <x v="1"/>
    <x v="7"/>
    <x v="325"/>
    <x v="1"/>
    <x v="14"/>
    <x v="0"/>
    <n v="103280"/>
  </r>
  <r>
    <s v="CSKU17979_3ES"/>
    <x v="2"/>
    <x v="0"/>
    <x v="1"/>
    <x v="9"/>
    <x v="4"/>
    <x v="7"/>
    <x v="325"/>
    <x v="1"/>
    <x v="14"/>
    <x v="0"/>
    <n v="94680"/>
  </r>
  <r>
    <s v="CSKU17980_3ES"/>
    <x v="2"/>
    <x v="0"/>
    <x v="1"/>
    <x v="9"/>
    <x v="1"/>
    <x v="7"/>
    <x v="325"/>
    <x v="1"/>
    <x v="14"/>
    <x v="0"/>
    <n v="109240"/>
  </r>
  <r>
    <s v="CSKU17681_3ES"/>
    <x v="2"/>
    <x v="0"/>
    <x v="0"/>
    <x v="2"/>
    <x v="4"/>
    <x v="7"/>
    <x v="194"/>
    <x v="0"/>
    <x v="14"/>
    <x v="0"/>
    <n v="107420"/>
  </r>
  <r>
    <s v="CSKU17682_3ES"/>
    <x v="2"/>
    <x v="0"/>
    <x v="0"/>
    <x v="8"/>
    <x v="4"/>
    <x v="7"/>
    <x v="194"/>
    <x v="0"/>
    <x v="14"/>
    <x v="0"/>
    <n v="110980"/>
  </r>
  <r>
    <s v="CSKU17683_3ES"/>
    <x v="2"/>
    <x v="0"/>
    <x v="0"/>
    <x v="9"/>
    <x v="4"/>
    <x v="7"/>
    <x v="194"/>
    <x v="0"/>
    <x v="14"/>
    <x v="0"/>
    <n v="114520"/>
  </r>
  <r>
    <s v="CSKU17573_3ES"/>
    <x v="2"/>
    <x v="0"/>
    <x v="0"/>
    <x v="2"/>
    <x v="4"/>
    <x v="7"/>
    <x v="329"/>
    <x v="0"/>
    <x v="14"/>
    <x v="0"/>
    <n v="98820"/>
  </r>
  <r>
    <s v="CSKU17574_3ES"/>
    <x v="2"/>
    <x v="0"/>
    <x v="0"/>
    <x v="8"/>
    <x v="4"/>
    <x v="7"/>
    <x v="329"/>
    <x v="0"/>
    <x v="14"/>
    <x v="0"/>
    <n v="102380"/>
  </r>
  <r>
    <s v="CSKU17575_3ES"/>
    <x v="2"/>
    <x v="0"/>
    <x v="0"/>
    <x v="9"/>
    <x v="4"/>
    <x v="7"/>
    <x v="329"/>
    <x v="0"/>
    <x v="14"/>
    <x v="0"/>
    <n v="105920"/>
  </r>
  <r>
    <s v="CSKU17609_3ES"/>
    <x v="2"/>
    <x v="0"/>
    <x v="0"/>
    <x v="2"/>
    <x v="4"/>
    <x v="7"/>
    <x v="330"/>
    <x v="0"/>
    <x v="14"/>
    <x v="0"/>
    <n v="98820"/>
  </r>
  <r>
    <s v="CSKU17610_3ES"/>
    <x v="2"/>
    <x v="0"/>
    <x v="0"/>
    <x v="8"/>
    <x v="4"/>
    <x v="7"/>
    <x v="330"/>
    <x v="0"/>
    <x v="14"/>
    <x v="0"/>
    <n v="102380"/>
  </r>
  <r>
    <s v="CSKU17611_3ES"/>
    <x v="2"/>
    <x v="0"/>
    <x v="0"/>
    <x v="9"/>
    <x v="4"/>
    <x v="7"/>
    <x v="330"/>
    <x v="0"/>
    <x v="14"/>
    <x v="0"/>
    <n v="105920"/>
  </r>
  <r>
    <s v="CSKU17612_3ES"/>
    <x v="2"/>
    <x v="0"/>
    <x v="0"/>
    <x v="2"/>
    <x v="1"/>
    <x v="7"/>
    <x v="330"/>
    <x v="0"/>
    <x v="14"/>
    <x v="0"/>
    <n v="115090"/>
  </r>
  <r>
    <s v="CSKU17613_3ES"/>
    <x v="2"/>
    <x v="0"/>
    <x v="0"/>
    <x v="8"/>
    <x v="1"/>
    <x v="7"/>
    <x v="330"/>
    <x v="0"/>
    <x v="14"/>
    <x v="0"/>
    <n v="118650"/>
  </r>
  <r>
    <s v="CSKU17614_3ES"/>
    <x v="2"/>
    <x v="0"/>
    <x v="0"/>
    <x v="9"/>
    <x v="1"/>
    <x v="7"/>
    <x v="330"/>
    <x v="0"/>
    <x v="14"/>
    <x v="0"/>
    <n v="123960"/>
  </r>
  <r>
    <s v="CSKU17615_3ES"/>
    <x v="2"/>
    <x v="0"/>
    <x v="1"/>
    <x v="2"/>
    <x v="4"/>
    <x v="7"/>
    <x v="330"/>
    <x v="1"/>
    <x v="14"/>
    <x v="0"/>
    <n v="103930"/>
  </r>
  <r>
    <s v="CSKU17648_3ES"/>
    <x v="2"/>
    <x v="0"/>
    <x v="0"/>
    <x v="2"/>
    <x v="1"/>
    <x v="7"/>
    <x v="193"/>
    <x v="0"/>
    <x v="14"/>
    <x v="0"/>
    <n v="115090"/>
  </r>
  <r>
    <s v="CSKU17649_3ES"/>
    <x v="2"/>
    <x v="0"/>
    <x v="0"/>
    <x v="8"/>
    <x v="1"/>
    <x v="7"/>
    <x v="193"/>
    <x v="0"/>
    <x v="14"/>
    <x v="0"/>
    <n v="118650"/>
  </r>
  <r>
    <s v="CSKU17650_3ES"/>
    <x v="2"/>
    <x v="0"/>
    <x v="0"/>
    <x v="9"/>
    <x v="1"/>
    <x v="7"/>
    <x v="193"/>
    <x v="0"/>
    <x v="14"/>
    <x v="0"/>
    <n v="123960"/>
  </r>
  <r>
    <s v="CSKU17651_3ES"/>
    <x v="2"/>
    <x v="0"/>
    <x v="1"/>
    <x v="2"/>
    <x v="4"/>
    <x v="7"/>
    <x v="193"/>
    <x v="1"/>
    <x v="14"/>
    <x v="0"/>
    <n v="103930"/>
  </r>
  <r>
    <s v="CSKU17652_3ES"/>
    <x v="2"/>
    <x v="0"/>
    <x v="1"/>
    <x v="2"/>
    <x v="1"/>
    <x v="7"/>
    <x v="193"/>
    <x v="1"/>
    <x v="14"/>
    <x v="0"/>
    <n v="121270"/>
  </r>
  <r>
    <s v="CSKU17653_3ES"/>
    <x v="2"/>
    <x v="0"/>
    <x v="1"/>
    <x v="8"/>
    <x v="4"/>
    <x v="7"/>
    <x v="193"/>
    <x v="1"/>
    <x v="14"/>
    <x v="0"/>
    <n v="107910"/>
  </r>
  <r>
    <s v="CSKU17654_3ES"/>
    <x v="2"/>
    <x v="0"/>
    <x v="1"/>
    <x v="8"/>
    <x v="1"/>
    <x v="7"/>
    <x v="193"/>
    <x v="1"/>
    <x v="14"/>
    <x v="0"/>
    <n v="125240"/>
  </r>
  <r>
    <s v="CSKU17655_3ES"/>
    <x v="2"/>
    <x v="0"/>
    <x v="1"/>
    <x v="9"/>
    <x v="4"/>
    <x v="7"/>
    <x v="193"/>
    <x v="1"/>
    <x v="14"/>
    <x v="0"/>
    <n v="111880"/>
  </r>
  <r>
    <s v="CSKU17656_3ES"/>
    <x v="2"/>
    <x v="0"/>
    <x v="1"/>
    <x v="9"/>
    <x v="1"/>
    <x v="7"/>
    <x v="193"/>
    <x v="1"/>
    <x v="14"/>
    <x v="0"/>
    <n v="131200"/>
  </r>
  <r>
    <s v="CSKU17717_3ES"/>
    <x v="2"/>
    <x v="0"/>
    <x v="0"/>
    <x v="2"/>
    <x v="4"/>
    <x v="7"/>
    <x v="195"/>
    <x v="0"/>
    <x v="14"/>
    <x v="0"/>
    <n v="85540"/>
  </r>
  <r>
    <s v="CSKU17718_3ES"/>
    <x v="2"/>
    <x v="0"/>
    <x v="0"/>
    <x v="8"/>
    <x v="4"/>
    <x v="7"/>
    <x v="195"/>
    <x v="0"/>
    <x v="14"/>
    <x v="0"/>
    <n v="89100"/>
  </r>
  <r>
    <s v="CSKU17719_3ES"/>
    <x v="2"/>
    <x v="0"/>
    <x v="0"/>
    <x v="9"/>
    <x v="4"/>
    <x v="7"/>
    <x v="195"/>
    <x v="0"/>
    <x v="14"/>
    <x v="0"/>
    <n v="92640"/>
  </r>
  <r>
    <s v="CSKU17720_3ES"/>
    <x v="2"/>
    <x v="0"/>
    <x v="0"/>
    <x v="2"/>
    <x v="1"/>
    <x v="7"/>
    <x v="195"/>
    <x v="0"/>
    <x v="14"/>
    <x v="0"/>
    <n v="98870"/>
  </r>
  <r>
    <s v="CSKU17721_3ES"/>
    <x v="2"/>
    <x v="0"/>
    <x v="0"/>
    <x v="8"/>
    <x v="1"/>
    <x v="7"/>
    <x v="195"/>
    <x v="0"/>
    <x v="14"/>
    <x v="0"/>
    <n v="102430"/>
  </r>
  <r>
    <s v="CSKU17753_3ES"/>
    <x v="2"/>
    <x v="0"/>
    <x v="0"/>
    <x v="2"/>
    <x v="4"/>
    <x v="7"/>
    <x v="196"/>
    <x v="0"/>
    <x v="14"/>
    <x v="0"/>
    <n v="85540"/>
  </r>
  <r>
    <s v="CSKU17861_3ES"/>
    <x v="2"/>
    <x v="0"/>
    <x v="0"/>
    <x v="2"/>
    <x v="4"/>
    <x v="7"/>
    <x v="331"/>
    <x v="0"/>
    <x v="14"/>
    <x v="0"/>
    <n v="107420"/>
  </r>
  <r>
    <s v="CSKU17862_3ES"/>
    <x v="2"/>
    <x v="0"/>
    <x v="0"/>
    <x v="8"/>
    <x v="4"/>
    <x v="7"/>
    <x v="331"/>
    <x v="0"/>
    <x v="14"/>
    <x v="0"/>
    <n v="110980"/>
  </r>
  <r>
    <s v="CSKU17863_3ES"/>
    <x v="2"/>
    <x v="0"/>
    <x v="0"/>
    <x v="9"/>
    <x v="4"/>
    <x v="7"/>
    <x v="331"/>
    <x v="0"/>
    <x v="14"/>
    <x v="0"/>
    <n v="114520"/>
  </r>
  <r>
    <s v="CSKU17789_3ES"/>
    <x v="2"/>
    <x v="0"/>
    <x v="0"/>
    <x v="2"/>
    <x v="4"/>
    <x v="7"/>
    <x v="197"/>
    <x v="0"/>
    <x v="14"/>
    <x v="0"/>
    <n v="74900"/>
  </r>
  <r>
    <s v="CSKU17790_3ES"/>
    <x v="2"/>
    <x v="0"/>
    <x v="0"/>
    <x v="2"/>
    <x v="1"/>
    <x v="7"/>
    <x v="197"/>
    <x v="0"/>
    <x v="14"/>
    <x v="0"/>
    <n v="87030"/>
  </r>
  <r>
    <s v="CSKU17791_3ES"/>
    <x v="2"/>
    <x v="0"/>
    <x v="0"/>
    <x v="8"/>
    <x v="4"/>
    <x v="7"/>
    <x v="197"/>
    <x v="0"/>
    <x v="14"/>
    <x v="0"/>
    <n v="78460"/>
  </r>
  <r>
    <s v="CSKU17792_3ES"/>
    <x v="2"/>
    <x v="0"/>
    <x v="0"/>
    <x v="8"/>
    <x v="1"/>
    <x v="7"/>
    <x v="197"/>
    <x v="0"/>
    <x v="14"/>
    <x v="0"/>
    <n v="90590"/>
  </r>
  <r>
    <s v="CSKU17793_3ES"/>
    <x v="2"/>
    <x v="0"/>
    <x v="0"/>
    <x v="9"/>
    <x v="4"/>
    <x v="7"/>
    <x v="197"/>
    <x v="0"/>
    <x v="14"/>
    <x v="0"/>
    <n v="82000"/>
  </r>
  <r>
    <s v="CSKU17864_3ES"/>
    <x v="2"/>
    <x v="0"/>
    <x v="0"/>
    <x v="2"/>
    <x v="1"/>
    <x v="7"/>
    <x v="331"/>
    <x v="0"/>
    <x v="14"/>
    <x v="0"/>
    <n v="126070"/>
  </r>
  <r>
    <s v="CSKU17825_3ES"/>
    <x v="2"/>
    <x v="0"/>
    <x v="0"/>
    <x v="2"/>
    <x v="4"/>
    <x v="7"/>
    <x v="198"/>
    <x v="0"/>
    <x v="14"/>
    <x v="0"/>
    <n v="107420"/>
  </r>
  <r>
    <s v="CSKU17826_3ES"/>
    <x v="2"/>
    <x v="0"/>
    <x v="0"/>
    <x v="8"/>
    <x v="4"/>
    <x v="7"/>
    <x v="198"/>
    <x v="0"/>
    <x v="14"/>
    <x v="0"/>
    <n v="110980"/>
  </r>
  <r>
    <s v="CSKU17865_3ES"/>
    <x v="2"/>
    <x v="0"/>
    <x v="0"/>
    <x v="8"/>
    <x v="1"/>
    <x v="7"/>
    <x v="331"/>
    <x v="0"/>
    <x v="14"/>
    <x v="0"/>
    <n v="129630"/>
  </r>
  <r>
    <s v="CSKU17866_3ES"/>
    <x v="2"/>
    <x v="0"/>
    <x v="0"/>
    <x v="9"/>
    <x v="1"/>
    <x v="7"/>
    <x v="331"/>
    <x v="0"/>
    <x v="14"/>
    <x v="0"/>
    <n v="134940"/>
  </r>
  <r>
    <s v="CSKU17867_3ES"/>
    <x v="2"/>
    <x v="0"/>
    <x v="1"/>
    <x v="2"/>
    <x v="4"/>
    <x v="7"/>
    <x v="331"/>
    <x v="1"/>
    <x v="14"/>
    <x v="0"/>
    <n v="112530"/>
  </r>
  <r>
    <s v="CSKU17868_3ES"/>
    <x v="2"/>
    <x v="0"/>
    <x v="1"/>
    <x v="2"/>
    <x v="1"/>
    <x v="7"/>
    <x v="331"/>
    <x v="1"/>
    <x v="14"/>
    <x v="0"/>
    <n v="132250"/>
  </r>
  <r>
    <s v="CSKU17869_3ES"/>
    <x v="2"/>
    <x v="0"/>
    <x v="1"/>
    <x v="8"/>
    <x v="4"/>
    <x v="7"/>
    <x v="331"/>
    <x v="1"/>
    <x v="14"/>
    <x v="0"/>
    <n v="116510"/>
  </r>
  <r>
    <s v="CSKU17870_3ES"/>
    <x v="2"/>
    <x v="0"/>
    <x v="1"/>
    <x v="8"/>
    <x v="1"/>
    <x v="7"/>
    <x v="331"/>
    <x v="1"/>
    <x v="14"/>
    <x v="0"/>
    <n v="136220"/>
  </r>
  <r>
    <s v="CSKU17871_3ES"/>
    <x v="2"/>
    <x v="0"/>
    <x v="1"/>
    <x v="9"/>
    <x v="4"/>
    <x v="7"/>
    <x v="331"/>
    <x v="1"/>
    <x v="14"/>
    <x v="0"/>
    <n v="120480"/>
  </r>
  <r>
    <s v="CSKU17872_3ES"/>
    <x v="2"/>
    <x v="0"/>
    <x v="1"/>
    <x v="9"/>
    <x v="1"/>
    <x v="7"/>
    <x v="331"/>
    <x v="1"/>
    <x v="14"/>
    <x v="0"/>
    <n v="142180"/>
  </r>
  <r>
    <s v="CSKU17576_3ES"/>
    <x v="2"/>
    <x v="0"/>
    <x v="0"/>
    <x v="2"/>
    <x v="1"/>
    <x v="7"/>
    <x v="329"/>
    <x v="0"/>
    <x v="14"/>
    <x v="0"/>
    <n v="115090"/>
  </r>
  <r>
    <s v="CSKU17616_3ES"/>
    <x v="2"/>
    <x v="0"/>
    <x v="1"/>
    <x v="2"/>
    <x v="1"/>
    <x v="7"/>
    <x v="330"/>
    <x v="1"/>
    <x v="14"/>
    <x v="0"/>
    <n v="121270"/>
  </r>
  <r>
    <s v="CSKU17537_3ES"/>
    <x v="2"/>
    <x v="0"/>
    <x v="0"/>
    <x v="2"/>
    <x v="4"/>
    <x v="7"/>
    <x v="332"/>
    <x v="0"/>
    <x v="14"/>
    <x v="0"/>
    <n v="66300"/>
  </r>
  <r>
    <s v="CSKU17538_3ES"/>
    <x v="2"/>
    <x v="0"/>
    <x v="0"/>
    <x v="2"/>
    <x v="1"/>
    <x v="7"/>
    <x v="332"/>
    <x v="0"/>
    <x v="14"/>
    <x v="0"/>
    <n v="76050"/>
  </r>
  <r>
    <s v="CSKU17539_3ES"/>
    <x v="2"/>
    <x v="0"/>
    <x v="0"/>
    <x v="8"/>
    <x v="4"/>
    <x v="7"/>
    <x v="332"/>
    <x v="0"/>
    <x v="14"/>
    <x v="0"/>
    <n v="69860"/>
  </r>
  <r>
    <s v="CSKU17540_3ES"/>
    <x v="2"/>
    <x v="0"/>
    <x v="0"/>
    <x v="8"/>
    <x v="1"/>
    <x v="7"/>
    <x v="332"/>
    <x v="0"/>
    <x v="14"/>
    <x v="0"/>
    <n v="79610"/>
  </r>
  <r>
    <s v="CSKU17541_3ES"/>
    <x v="2"/>
    <x v="0"/>
    <x v="0"/>
    <x v="9"/>
    <x v="4"/>
    <x v="7"/>
    <x v="332"/>
    <x v="0"/>
    <x v="14"/>
    <x v="0"/>
    <n v="73400"/>
  </r>
  <r>
    <s v="CSKU17542_3ES"/>
    <x v="2"/>
    <x v="0"/>
    <x v="0"/>
    <x v="9"/>
    <x v="1"/>
    <x v="7"/>
    <x v="332"/>
    <x v="0"/>
    <x v="14"/>
    <x v="0"/>
    <n v="84920"/>
  </r>
  <r>
    <s v="CSKU17543_3ES"/>
    <x v="2"/>
    <x v="0"/>
    <x v="1"/>
    <x v="2"/>
    <x v="4"/>
    <x v="7"/>
    <x v="332"/>
    <x v="1"/>
    <x v="14"/>
    <x v="0"/>
    <n v="72690"/>
  </r>
  <r>
    <s v="CSKU17577_3ES"/>
    <x v="2"/>
    <x v="0"/>
    <x v="0"/>
    <x v="8"/>
    <x v="1"/>
    <x v="7"/>
    <x v="329"/>
    <x v="0"/>
    <x v="14"/>
    <x v="0"/>
    <n v="118650"/>
  </r>
  <r>
    <s v="CSKU17578_3ES"/>
    <x v="2"/>
    <x v="0"/>
    <x v="0"/>
    <x v="9"/>
    <x v="1"/>
    <x v="7"/>
    <x v="329"/>
    <x v="0"/>
    <x v="14"/>
    <x v="0"/>
    <n v="123960"/>
  </r>
  <r>
    <s v="CSKU17579_3ES"/>
    <x v="2"/>
    <x v="0"/>
    <x v="1"/>
    <x v="2"/>
    <x v="4"/>
    <x v="7"/>
    <x v="329"/>
    <x v="1"/>
    <x v="14"/>
    <x v="0"/>
    <n v="103930"/>
  </r>
  <r>
    <s v="CSKU17580_3ES"/>
    <x v="2"/>
    <x v="0"/>
    <x v="1"/>
    <x v="2"/>
    <x v="1"/>
    <x v="7"/>
    <x v="329"/>
    <x v="1"/>
    <x v="14"/>
    <x v="0"/>
    <n v="121270"/>
  </r>
  <r>
    <s v="CSKU17581_3ES"/>
    <x v="2"/>
    <x v="0"/>
    <x v="1"/>
    <x v="8"/>
    <x v="4"/>
    <x v="7"/>
    <x v="329"/>
    <x v="1"/>
    <x v="14"/>
    <x v="0"/>
    <n v="107910"/>
  </r>
  <r>
    <s v="CSKU17582_3ES"/>
    <x v="2"/>
    <x v="0"/>
    <x v="1"/>
    <x v="8"/>
    <x v="1"/>
    <x v="7"/>
    <x v="329"/>
    <x v="1"/>
    <x v="14"/>
    <x v="0"/>
    <n v="125240"/>
  </r>
  <r>
    <s v="CSKU17583_3ES"/>
    <x v="2"/>
    <x v="0"/>
    <x v="1"/>
    <x v="9"/>
    <x v="4"/>
    <x v="7"/>
    <x v="329"/>
    <x v="1"/>
    <x v="14"/>
    <x v="0"/>
    <n v="111880"/>
  </r>
  <r>
    <s v="CSKU17584_3ES"/>
    <x v="2"/>
    <x v="0"/>
    <x v="1"/>
    <x v="9"/>
    <x v="1"/>
    <x v="7"/>
    <x v="329"/>
    <x v="1"/>
    <x v="14"/>
    <x v="0"/>
    <n v="131200"/>
  </r>
  <r>
    <s v="CSKU17617_3ES"/>
    <x v="2"/>
    <x v="0"/>
    <x v="1"/>
    <x v="8"/>
    <x v="4"/>
    <x v="7"/>
    <x v="330"/>
    <x v="1"/>
    <x v="14"/>
    <x v="0"/>
    <n v="107910"/>
  </r>
  <r>
    <s v="CSKU17618_3ES"/>
    <x v="2"/>
    <x v="0"/>
    <x v="1"/>
    <x v="8"/>
    <x v="1"/>
    <x v="7"/>
    <x v="330"/>
    <x v="1"/>
    <x v="14"/>
    <x v="0"/>
    <n v="125240"/>
  </r>
  <r>
    <s v="CSKU17619_3ES"/>
    <x v="2"/>
    <x v="0"/>
    <x v="1"/>
    <x v="9"/>
    <x v="4"/>
    <x v="7"/>
    <x v="330"/>
    <x v="1"/>
    <x v="14"/>
    <x v="0"/>
    <n v="111880"/>
  </r>
  <r>
    <s v="CSKU17620_3ES"/>
    <x v="2"/>
    <x v="0"/>
    <x v="1"/>
    <x v="9"/>
    <x v="1"/>
    <x v="7"/>
    <x v="330"/>
    <x v="1"/>
    <x v="14"/>
    <x v="0"/>
    <n v="131200"/>
  </r>
  <r>
    <s v="CSKU17645_3ES"/>
    <x v="2"/>
    <x v="0"/>
    <x v="0"/>
    <x v="2"/>
    <x v="4"/>
    <x v="7"/>
    <x v="193"/>
    <x v="0"/>
    <x v="14"/>
    <x v="0"/>
    <n v="98820"/>
  </r>
  <r>
    <s v="CSKU17646_3ES"/>
    <x v="2"/>
    <x v="0"/>
    <x v="0"/>
    <x v="8"/>
    <x v="4"/>
    <x v="7"/>
    <x v="193"/>
    <x v="0"/>
    <x v="14"/>
    <x v="0"/>
    <n v="102380"/>
  </r>
  <r>
    <s v="CSKU17362_3ES"/>
    <x v="2"/>
    <x v="0"/>
    <x v="0"/>
    <x v="9"/>
    <x v="1"/>
    <x v="7"/>
    <x v="333"/>
    <x v="0"/>
    <x v="14"/>
    <x v="0"/>
    <n v="95900"/>
  </r>
  <r>
    <s v="CSKU17363_3ES"/>
    <x v="2"/>
    <x v="0"/>
    <x v="1"/>
    <x v="2"/>
    <x v="4"/>
    <x v="7"/>
    <x v="333"/>
    <x v="1"/>
    <x v="14"/>
    <x v="0"/>
    <n v="81290"/>
  </r>
  <r>
    <s v="CSKU17364_3ES"/>
    <x v="2"/>
    <x v="0"/>
    <x v="1"/>
    <x v="2"/>
    <x v="1"/>
    <x v="7"/>
    <x v="333"/>
    <x v="1"/>
    <x v="14"/>
    <x v="0"/>
    <n v="94490"/>
  </r>
  <r>
    <s v="CSKU17365_3ES"/>
    <x v="2"/>
    <x v="0"/>
    <x v="1"/>
    <x v="8"/>
    <x v="4"/>
    <x v="7"/>
    <x v="333"/>
    <x v="1"/>
    <x v="14"/>
    <x v="0"/>
    <n v="85270"/>
  </r>
  <r>
    <s v="CSKU17366_3ES"/>
    <x v="2"/>
    <x v="0"/>
    <x v="1"/>
    <x v="8"/>
    <x v="1"/>
    <x v="7"/>
    <x v="333"/>
    <x v="1"/>
    <x v="14"/>
    <x v="0"/>
    <n v="98460"/>
  </r>
  <r>
    <s v="CSKU17367_3ES"/>
    <x v="2"/>
    <x v="0"/>
    <x v="1"/>
    <x v="9"/>
    <x v="4"/>
    <x v="7"/>
    <x v="333"/>
    <x v="1"/>
    <x v="14"/>
    <x v="0"/>
    <n v="89240"/>
  </r>
  <r>
    <s v="CSKU17368_3ES"/>
    <x v="2"/>
    <x v="0"/>
    <x v="1"/>
    <x v="9"/>
    <x v="1"/>
    <x v="7"/>
    <x v="333"/>
    <x v="1"/>
    <x v="14"/>
    <x v="0"/>
    <n v="104420"/>
  </r>
  <r>
    <s v="CSKU17219_3ES"/>
    <x v="2"/>
    <x v="0"/>
    <x v="1"/>
    <x v="2"/>
    <x v="4"/>
    <x v="7"/>
    <x v="188"/>
    <x v="1"/>
    <x v="14"/>
    <x v="0"/>
    <n v="112530"/>
  </r>
  <r>
    <s v="CSKU17220_3ES"/>
    <x v="2"/>
    <x v="0"/>
    <x v="1"/>
    <x v="2"/>
    <x v="1"/>
    <x v="7"/>
    <x v="188"/>
    <x v="1"/>
    <x v="14"/>
    <x v="0"/>
    <n v="132250"/>
  </r>
  <r>
    <s v="CSKU17221_3ES"/>
    <x v="2"/>
    <x v="0"/>
    <x v="1"/>
    <x v="8"/>
    <x v="4"/>
    <x v="7"/>
    <x v="188"/>
    <x v="1"/>
    <x v="14"/>
    <x v="0"/>
    <n v="116510"/>
  </r>
  <r>
    <s v="CSKU17222_3ES"/>
    <x v="2"/>
    <x v="0"/>
    <x v="1"/>
    <x v="8"/>
    <x v="1"/>
    <x v="7"/>
    <x v="188"/>
    <x v="1"/>
    <x v="14"/>
    <x v="0"/>
    <n v="136220"/>
  </r>
  <r>
    <s v="CSKU17223_3ES"/>
    <x v="2"/>
    <x v="0"/>
    <x v="1"/>
    <x v="9"/>
    <x v="4"/>
    <x v="7"/>
    <x v="188"/>
    <x v="1"/>
    <x v="14"/>
    <x v="0"/>
    <n v="120480"/>
  </r>
  <r>
    <s v="CSKU17224_3ES"/>
    <x v="2"/>
    <x v="0"/>
    <x v="1"/>
    <x v="9"/>
    <x v="1"/>
    <x v="7"/>
    <x v="188"/>
    <x v="1"/>
    <x v="14"/>
    <x v="0"/>
    <n v="142180"/>
  </r>
  <r>
    <s v="CSKU17259_3ES"/>
    <x v="2"/>
    <x v="0"/>
    <x v="1"/>
    <x v="9"/>
    <x v="4"/>
    <x v="7"/>
    <x v="189"/>
    <x v="1"/>
    <x v="14"/>
    <x v="0"/>
    <n v="120480"/>
  </r>
  <r>
    <s v="CSKU17260_3ES"/>
    <x v="2"/>
    <x v="0"/>
    <x v="1"/>
    <x v="9"/>
    <x v="1"/>
    <x v="7"/>
    <x v="189"/>
    <x v="1"/>
    <x v="14"/>
    <x v="0"/>
    <n v="142180"/>
  </r>
  <r>
    <s v="CSKU17289_3ES"/>
    <x v="2"/>
    <x v="0"/>
    <x v="0"/>
    <x v="9"/>
    <x v="4"/>
    <x v="7"/>
    <x v="190"/>
    <x v="0"/>
    <x v="14"/>
    <x v="0"/>
    <n v="82000"/>
  </r>
  <r>
    <s v="CSKU17290_3ES"/>
    <x v="2"/>
    <x v="0"/>
    <x v="0"/>
    <x v="9"/>
    <x v="1"/>
    <x v="7"/>
    <x v="190"/>
    <x v="0"/>
    <x v="14"/>
    <x v="0"/>
    <n v="95900"/>
  </r>
  <r>
    <s v="CSKU17291_3ES"/>
    <x v="2"/>
    <x v="0"/>
    <x v="1"/>
    <x v="2"/>
    <x v="4"/>
    <x v="7"/>
    <x v="190"/>
    <x v="1"/>
    <x v="14"/>
    <x v="0"/>
    <n v="81290"/>
  </r>
  <r>
    <s v="CSKU17292_3ES"/>
    <x v="2"/>
    <x v="0"/>
    <x v="1"/>
    <x v="2"/>
    <x v="1"/>
    <x v="7"/>
    <x v="190"/>
    <x v="1"/>
    <x v="14"/>
    <x v="0"/>
    <n v="94490"/>
  </r>
  <r>
    <s v="CSKU17293_3ES"/>
    <x v="2"/>
    <x v="0"/>
    <x v="1"/>
    <x v="8"/>
    <x v="4"/>
    <x v="7"/>
    <x v="190"/>
    <x v="1"/>
    <x v="14"/>
    <x v="0"/>
    <n v="85270"/>
  </r>
  <r>
    <s v="CSKU17294_3ES"/>
    <x v="2"/>
    <x v="0"/>
    <x v="1"/>
    <x v="8"/>
    <x v="1"/>
    <x v="7"/>
    <x v="190"/>
    <x v="1"/>
    <x v="14"/>
    <x v="0"/>
    <n v="98460"/>
  </r>
  <r>
    <s v="CSKU17295_3ES"/>
    <x v="2"/>
    <x v="0"/>
    <x v="1"/>
    <x v="9"/>
    <x v="4"/>
    <x v="7"/>
    <x v="190"/>
    <x v="1"/>
    <x v="14"/>
    <x v="0"/>
    <n v="89240"/>
  </r>
  <r>
    <s v="CSKU17296_3ES"/>
    <x v="2"/>
    <x v="0"/>
    <x v="1"/>
    <x v="9"/>
    <x v="1"/>
    <x v="7"/>
    <x v="190"/>
    <x v="1"/>
    <x v="14"/>
    <x v="0"/>
    <n v="104420"/>
  </r>
  <r>
    <s v="CSKU17330_3ES"/>
    <x v="2"/>
    <x v="0"/>
    <x v="1"/>
    <x v="8"/>
    <x v="1"/>
    <x v="7"/>
    <x v="191"/>
    <x v="1"/>
    <x v="14"/>
    <x v="0"/>
    <n v="136220"/>
  </r>
  <r>
    <s v="CSKU17331_3ES"/>
    <x v="2"/>
    <x v="0"/>
    <x v="1"/>
    <x v="9"/>
    <x v="4"/>
    <x v="7"/>
    <x v="191"/>
    <x v="1"/>
    <x v="14"/>
    <x v="0"/>
    <n v="120480"/>
  </r>
  <r>
    <s v="CSKU17332_3ES"/>
    <x v="2"/>
    <x v="0"/>
    <x v="1"/>
    <x v="9"/>
    <x v="1"/>
    <x v="7"/>
    <x v="191"/>
    <x v="1"/>
    <x v="14"/>
    <x v="0"/>
    <n v="142180"/>
  </r>
  <r>
    <s v="CSKU17403_3ES"/>
    <x v="2"/>
    <x v="0"/>
    <x v="1"/>
    <x v="9"/>
    <x v="4"/>
    <x v="7"/>
    <x v="334"/>
    <x v="1"/>
    <x v="14"/>
    <x v="0"/>
    <n v="111880"/>
  </r>
  <r>
    <s v="CSKU17404_3ES"/>
    <x v="2"/>
    <x v="0"/>
    <x v="1"/>
    <x v="9"/>
    <x v="1"/>
    <x v="7"/>
    <x v="334"/>
    <x v="1"/>
    <x v="14"/>
    <x v="0"/>
    <n v="131200"/>
  </r>
  <r>
    <s v="CSKU17544_3ES"/>
    <x v="2"/>
    <x v="0"/>
    <x v="1"/>
    <x v="2"/>
    <x v="1"/>
    <x v="7"/>
    <x v="332"/>
    <x v="1"/>
    <x v="14"/>
    <x v="0"/>
    <n v="83510"/>
  </r>
  <r>
    <s v="CSKU17429_3ES"/>
    <x v="2"/>
    <x v="0"/>
    <x v="0"/>
    <x v="2"/>
    <x v="4"/>
    <x v="7"/>
    <x v="192"/>
    <x v="0"/>
    <x v="14"/>
    <x v="0"/>
    <n v="81620"/>
  </r>
  <r>
    <s v="CSKU17433_3ES"/>
    <x v="2"/>
    <x v="0"/>
    <x v="0"/>
    <x v="8"/>
    <x v="1"/>
    <x v="7"/>
    <x v="192"/>
    <x v="0"/>
    <x v="14"/>
    <x v="0"/>
    <n v="96690"/>
  </r>
  <r>
    <s v="CSKU17434_3ES"/>
    <x v="2"/>
    <x v="0"/>
    <x v="0"/>
    <x v="9"/>
    <x v="1"/>
    <x v="7"/>
    <x v="192"/>
    <x v="0"/>
    <x v="14"/>
    <x v="0"/>
    <n v="102000"/>
  </r>
  <r>
    <s v="CSKU17435_3ES"/>
    <x v="2"/>
    <x v="0"/>
    <x v="1"/>
    <x v="2"/>
    <x v="4"/>
    <x v="7"/>
    <x v="192"/>
    <x v="1"/>
    <x v="14"/>
    <x v="0"/>
    <n v="86730"/>
  </r>
  <r>
    <s v="CSKU17436_3ES"/>
    <x v="2"/>
    <x v="0"/>
    <x v="1"/>
    <x v="2"/>
    <x v="1"/>
    <x v="7"/>
    <x v="192"/>
    <x v="1"/>
    <x v="14"/>
    <x v="0"/>
    <n v="99310"/>
  </r>
  <r>
    <s v="CSKU17437_3ES"/>
    <x v="2"/>
    <x v="0"/>
    <x v="1"/>
    <x v="8"/>
    <x v="4"/>
    <x v="7"/>
    <x v="192"/>
    <x v="1"/>
    <x v="14"/>
    <x v="0"/>
    <n v="90710"/>
  </r>
  <r>
    <s v="CSKU17438_3ES"/>
    <x v="2"/>
    <x v="0"/>
    <x v="1"/>
    <x v="8"/>
    <x v="1"/>
    <x v="7"/>
    <x v="192"/>
    <x v="1"/>
    <x v="14"/>
    <x v="0"/>
    <n v="103280"/>
  </r>
  <r>
    <s v="CSKU17439_3ES"/>
    <x v="2"/>
    <x v="0"/>
    <x v="1"/>
    <x v="9"/>
    <x v="4"/>
    <x v="7"/>
    <x v="192"/>
    <x v="1"/>
    <x v="14"/>
    <x v="0"/>
    <n v="94680"/>
  </r>
  <r>
    <s v="CSKU17465_3ES"/>
    <x v="2"/>
    <x v="0"/>
    <x v="0"/>
    <x v="2"/>
    <x v="4"/>
    <x v="7"/>
    <x v="335"/>
    <x v="0"/>
    <x v="14"/>
    <x v="0"/>
    <n v="98820"/>
  </r>
  <r>
    <s v="CSKU17466_3ES"/>
    <x v="2"/>
    <x v="0"/>
    <x v="0"/>
    <x v="8"/>
    <x v="4"/>
    <x v="7"/>
    <x v="335"/>
    <x v="0"/>
    <x v="14"/>
    <x v="0"/>
    <n v="102380"/>
  </r>
  <r>
    <s v="CSKU17467_3ES"/>
    <x v="2"/>
    <x v="0"/>
    <x v="0"/>
    <x v="9"/>
    <x v="4"/>
    <x v="7"/>
    <x v="335"/>
    <x v="0"/>
    <x v="14"/>
    <x v="0"/>
    <n v="105920"/>
  </r>
  <r>
    <s v="CSKU17468_3ES"/>
    <x v="2"/>
    <x v="0"/>
    <x v="0"/>
    <x v="2"/>
    <x v="1"/>
    <x v="7"/>
    <x v="335"/>
    <x v="0"/>
    <x v="14"/>
    <x v="0"/>
    <n v="115090"/>
  </r>
  <r>
    <s v="CSKU17469_3ES"/>
    <x v="2"/>
    <x v="0"/>
    <x v="0"/>
    <x v="8"/>
    <x v="1"/>
    <x v="7"/>
    <x v="335"/>
    <x v="0"/>
    <x v="14"/>
    <x v="0"/>
    <n v="118650"/>
  </r>
  <r>
    <s v="CSKU17470_3ES"/>
    <x v="2"/>
    <x v="0"/>
    <x v="0"/>
    <x v="9"/>
    <x v="1"/>
    <x v="7"/>
    <x v="335"/>
    <x v="0"/>
    <x v="14"/>
    <x v="0"/>
    <n v="123960"/>
  </r>
  <r>
    <s v="CSKU17471_3ES"/>
    <x v="2"/>
    <x v="0"/>
    <x v="1"/>
    <x v="2"/>
    <x v="4"/>
    <x v="7"/>
    <x v="335"/>
    <x v="1"/>
    <x v="14"/>
    <x v="0"/>
    <n v="103930"/>
  </r>
  <r>
    <s v="CSKU17472_3ES"/>
    <x v="2"/>
    <x v="0"/>
    <x v="1"/>
    <x v="2"/>
    <x v="1"/>
    <x v="7"/>
    <x v="335"/>
    <x v="1"/>
    <x v="14"/>
    <x v="0"/>
    <n v="121270"/>
  </r>
  <r>
    <s v="CSKU17501_3ES"/>
    <x v="2"/>
    <x v="0"/>
    <x v="0"/>
    <x v="2"/>
    <x v="4"/>
    <x v="7"/>
    <x v="336"/>
    <x v="0"/>
    <x v="14"/>
    <x v="0"/>
    <n v="76940"/>
  </r>
  <r>
    <s v="CSKU17545_3ES"/>
    <x v="2"/>
    <x v="0"/>
    <x v="1"/>
    <x v="8"/>
    <x v="4"/>
    <x v="7"/>
    <x v="332"/>
    <x v="1"/>
    <x v="14"/>
    <x v="0"/>
    <n v="76670"/>
  </r>
  <r>
    <s v="CSKU17546_3ES"/>
    <x v="2"/>
    <x v="0"/>
    <x v="1"/>
    <x v="8"/>
    <x v="1"/>
    <x v="7"/>
    <x v="332"/>
    <x v="1"/>
    <x v="14"/>
    <x v="0"/>
    <n v="87480"/>
  </r>
  <r>
    <s v="CSKU17547_3ES"/>
    <x v="2"/>
    <x v="0"/>
    <x v="1"/>
    <x v="9"/>
    <x v="4"/>
    <x v="7"/>
    <x v="332"/>
    <x v="1"/>
    <x v="14"/>
    <x v="0"/>
    <n v="80640"/>
  </r>
  <r>
    <s v="CSKU17548_3ES"/>
    <x v="2"/>
    <x v="0"/>
    <x v="1"/>
    <x v="9"/>
    <x v="1"/>
    <x v="7"/>
    <x v="332"/>
    <x v="1"/>
    <x v="14"/>
    <x v="0"/>
    <n v="93440"/>
  </r>
  <r>
    <s v="CSKU17473_3ES"/>
    <x v="2"/>
    <x v="0"/>
    <x v="1"/>
    <x v="8"/>
    <x v="4"/>
    <x v="7"/>
    <x v="335"/>
    <x v="1"/>
    <x v="14"/>
    <x v="0"/>
    <n v="107910"/>
  </r>
  <r>
    <s v="CSKU17474_3ES"/>
    <x v="2"/>
    <x v="0"/>
    <x v="1"/>
    <x v="8"/>
    <x v="1"/>
    <x v="7"/>
    <x v="335"/>
    <x v="1"/>
    <x v="14"/>
    <x v="0"/>
    <n v="125240"/>
  </r>
  <r>
    <s v="CSKU17475_3ES"/>
    <x v="2"/>
    <x v="0"/>
    <x v="1"/>
    <x v="9"/>
    <x v="4"/>
    <x v="7"/>
    <x v="335"/>
    <x v="1"/>
    <x v="14"/>
    <x v="0"/>
    <n v="111880"/>
  </r>
  <r>
    <s v="CSKU17476_3ES"/>
    <x v="2"/>
    <x v="0"/>
    <x v="1"/>
    <x v="9"/>
    <x v="1"/>
    <x v="7"/>
    <x v="335"/>
    <x v="1"/>
    <x v="14"/>
    <x v="0"/>
    <n v="131200"/>
  </r>
  <r>
    <s v="CSKU17502_3ES"/>
    <x v="2"/>
    <x v="0"/>
    <x v="0"/>
    <x v="8"/>
    <x v="4"/>
    <x v="7"/>
    <x v="336"/>
    <x v="0"/>
    <x v="14"/>
    <x v="0"/>
    <n v="80500"/>
  </r>
  <r>
    <s v="CSKU17503_3ES"/>
    <x v="2"/>
    <x v="0"/>
    <x v="0"/>
    <x v="9"/>
    <x v="4"/>
    <x v="7"/>
    <x v="336"/>
    <x v="0"/>
    <x v="14"/>
    <x v="0"/>
    <n v="84040"/>
  </r>
  <r>
    <s v="CSKU17504_3ES"/>
    <x v="2"/>
    <x v="0"/>
    <x v="0"/>
    <x v="2"/>
    <x v="1"/>
    <x v="7"/>
    <x v="336"/>
    <x v="0"/>
    <x v="14"/>
    <x v="0"/>
    <n v="87890"/>
  </r>
  <r>
    <s v="CSKU17505_3ES"/>
    <x v="2"/>
    <x v="0"/>
    <x v="0"/>
    <x v="8"/>
    <x v="1"/>
    <x v="7"/>
    <x v="336"/>
    <x v="0"/>
    <x v="14"/>
    <x v="0"/>
    <n v="91450"/>
  </r>
  <r>
    <s v="CSKU17506_3ES"/>
    <x v="2"/>
    <x v="0"/>
    <x v="0"/>
    <x v="9"/>
    <x v="1"/>
    <x v="7"/>
    <x v="336"/>
    <x v="0"/>
    <x v="14"/>
    <x v="0"/>
    <n v="96760"/>
  </r>
  <r>
    <s v="CSKU17507_3ES"/>
    <x v="2"/>
    <x v="0"/>
    <x v="1"/>
    <x v="2"/>
    <x v="4"/>
    <x v="7"/>
    <x v="336"/>
    <x v="1"/>
    <x v="14"/>
    <x v="0"/>
    <n v="82050"/>
  </r>
  <r>
    <s v="CSKU17508_3ES"/>
    <x v="2"/>
    <x v="0"/>
    <x v="1"/>
    <x v="2"/>
    <x v="1"/>
    <x v="7"/>
    <x v="336"/>
    <x v="1"/>
    <x v="14"/>
    <x v="0"/>
    <n v="94070"/>
  </r>
  <r>
    <s v="CSKU17509_3ES"/>
    <x v="2"/>
    <x v="0"/>
    <x v="1"/>
    <x v="8"/>
    <x v="4"/>
    <x v="7"/>
    <x v="336"/>
    <x v="1"/>
    <x v="14"/>
    <x v="0"/>
    <n v="86030"/>
  </r>
  <r>
    <s v="CSKU17510_3ES"/>
    <x v="2"/>
    <x v="0"/>
    <x v="1"/>
    <x v="8"/>
    <x v="1"/>
    <x v="7"/>
    <x v="336"/>
    <x v="1"/>
    <x v="14"/>
    <x v="0"/>
    <n v="98040"/>
  </r>
  <r>
    <s v="CSKU17511_3ES"/>
    <x v="2"/>
    <x v="0"/>
    <x v="1"/>
    <x v="9"/>
    <x v="4"/>
    <x v="7"/>
    <x v="336"/>
    <x v="1"/>
    <x v="14"/>
    <x v="0"/>
    <n v="90000"/>
  </r>
  <r>
    <s v="CSKU17512_3ES"/>
    <x v="2"/>
    <x v="0"/>
    <x v="1"/>
    <x v="9"/>
    <x v="1"/>
    <x v="7"/>
    <x v="336"/>
    <x v="1"/>
    <x v="14"/>
    <x v="0"/>
    <n v="104000"/>
  </r>
  <r>
    <s v="CSKU17213_3ES"/>
    <x v="2"/>
    <x v="0"/>
    <x v="0"/>
    <x v="2"/>
    <x v="4"/>
    <x v="7"/>
    <x v="188"/>
    <x v="0"/>
    <x v="14"/>
    <x v="0"/>
    <n v="107420"/>
  </r>
  <r>
    <s v="CSKU17214_3ES"/>
    <x v="2"/>
    <x v="0"/>
    <x v="0"/>
    <x v="8"/>
    <x v="4"/>
    <x v="7"/>
    <x v="188"/>
    <x v="0"/>
    <x v="14"/>
    <x v="0"/>
    <n v="110980"/>
  </r>
  <r>
    <s v="CSKU17215_3ES"/>
    <x v="2"/>
    <x v="0"/>
    <x v="0"/>
    <x v="9"/>
    <x v="4"/>
    <x v="7"/>
    <x v="188"/>
    <x v="0"/>
    <x v="14"/>
    <x v="0"/>
    <n v="114520"/>
  </r>
  <r>
    <s v="CSKU17216_3ES"/>
    <x v="2"/>
    <x v="0"/>
    <x v="0"/>
    <x v="2"/>
    <x v="1"/>
    <x v="7"/>
    <x v="188"/>
    <x v="0"/>
    <x v="14"/>
    <x v="0"/>
    <n v="126070"/>
  </r>
  <r>
    <s v="CSKU17217_3ES"/>
    <x v="2"/>
    <x v="0"/>
    <x v="0"/>
    <x v="8"/>
    <x v="1"/>
    <x v="7"/>
    <x v="188"/>
    <x v="0"/>
    <x v="14"/>
    <x v="0"/>
    <n v="129630"/>
  </r>
  <r>
    <s v="CSKU17040_3ES"/>
    <x v="2"/>
    <x v="0"/>
    <x v="1"/>
    <x v="2"/>
    <x v="1"/>
    <x v="7"/>
    <x v="187"/>
    <x v="1"/>
    <x v="14"/>
    <x v="0"/>
    <n v="110290"/>
  </r>
  <r>
    <s v="CSKU17041_3ES"/>
    <x v="2"/>
    <x v="0"/>
    <x v="1"/>
    <x v="8"/>
    <x v="4"/>
    <x v="7"/>
    <x v="187"/>
    <x v="1"/>
    <x v="14"/>
    <x v="0"/>
    <n v="99310"/>
  </r>
  <r>
    <s v="CSKU17042_3ES"/>
    <x v="2"/>
    <x v="0"/>
    <x v="1"/>
    <x v="8"/>
    <x v="1"/>
    <x v="7"/>
    <x v="187"/>
    <x v="1"/>
    <x v="14"/>
    <x v="0"/>
    <n v="114260"/>
  </r>
  <r>
    <s v="CSKU17043_3ES"/>
    <x v="2"/>
    <x v="0"/>
    <x v="1"/>
    <x v="9"/>
    <x v="4"/>
    <x v="7"/>
    <x v="187"/>
    <x v="1"/>
    <x v="14"/>
    <x v="0"/>
    <n v="103280"/>
  </r>
  <r>
    <s v="CSKU17044_3ES"/>
    <x v="2"/>
    <x v="0"/>
    <x v="1"/>
    <x v="9"/>
    <x v="1"/>
    <x v="7"/>
    <x v="187"/>
    <x v="1"/>
    <x v="14"/>
    <x v="0"/>
    <n v="120220"/>
  </r>
  <r>
    <s v="CSKU17141_3ES"/>
    <x v="2"/>
    <x v="0"/>
    <x v="0"/>
    <x v="2"/>
    <x v="4"/>
    <x v="7"/>
    <x v="337"/>
    <x v="0"/>
    <x v="14"/>
    <x v="0"/>
    <n v="85540"/>
  </r>
  <r>
    <s v="CSKU17142_3ES"/>
    <x v="2"/>
    <x v="0"/>
    <x v="0"/>
    <x v="8"/>
    <x v="4"/>
    <x v="7"/>
    <x v="337"/>
    <x v="0"/>
    <x v="14"/>
    <x v="0"/>
    <n v="89100"/>
  </r>
  <r>
    <s v="CSKU17177_3ES"/>
    <x v="2"/>
    <x v="0"/>
    <x v="0"/>
    <x v="2"/>
    <x v="4"/>
    <x v="7"/>
    <x v="338"/>
    <x v="0"/>
    <x v="14"/>
    <x v="0"/>
    <n v="74900"/>
  </r>
  <r>
    <s v="CSKU17178_3ES"/>
    <x v="2"/>
    <x v="0"/>
    <x v="0"/>
    <x v="2"/>
    <x v="1"/>
    <x v="7"/>
    <x v="338"/>
    <x v="0"/>
    <x v="14"/>
    <x v="0"/>
    <n v="87030"/>
  </r>
  <r>
    <s v="CSKU17179_3ES"/>
    <x v="2"/>
    <x v="0"/>
    <x v="0"/>
    <x v="8"/>
    <x v="4"/>
    <x v="7"/>
    <x v="338"/>
    <x v="0"/>
    <x v="14"/>
    <x v="0"/>
    <n v="78460"/>
  </r>
  <r>
    <s v="CSKU17180_3ES"/>
    <x v="2"/>
    <x v="0"/>
    <x v="0"/>
    <x v="8"/>
    <x v="1"/>
    <x v="7"/>
    <x v="338"/>
    <x v="0"/>
    <x v="14"/>
    <x v="0"/>
    <n v="90590"/>
  </r>
  <r>
    <s v="CSKU17181_3ES"/>
    <x v="2"/>
    <x v="0"/>
    <x v="0"/>
    <x v="9"/>
    <x v="4"/>
    <x v="7"/>
    <x v="338"/>
    <x v="0"/>
    <x v="14"/>
    <x v="0"/>
    <n v="82000"/>
  </r>
  <r>
    <s v="CSKU17182_3ES"/>
    <x v="2"/>
    <x v="0"/>
    <x v="0"/>
    <x v="9"/>
    <x v="1"/>
    <x v="7"/>
    <x v="338"/>
    <x v="0"/>
    <x v="14"/>
    <x v="0"/>
    <n v="95900"/>
  </r>
  <r>
    <s v="CSKU17183_3ES"/>
    <x v="2"/>
    <x v="0"/>
    <x v="1"/>
    <x v="2"/>
    <x v="4"/>
    <x v="7"/>
    <x v="338"/>
    <x v="1"/>
    <x v="14"/>
    <x v="0"/>
    <n v="81290"/>
  </r>
  <r>
    <s v="CSKU17184_3ES"/>
    <x v="2"/>
    <x v="0"/>
    <x v="1"/>
    <x v="2"/>
    <x v="1"/>
    <x v="7"/>
    <x v="338"/>
    <x v="1"/>
    <x v="14"/>
    <x v="0"/>
    <n v="94490"/>
  </r>
  <r>
    <s v="CSKU17185_3ES"/>
    <x v="2"/>
    <x v="0"/>
    <x v="1"/>
    <x v="8"/>
    <x v="4"/>
    <x v="7"/>
    <x v="338"/>
    <x v="1"/>
    <x v="14"/>
    <x v="0"/>
    <n v="85270"/>
  </r>
  <r>
    <s v="CSKU17251_3ES"/>
    <x v="2"/>
    <x v="0"/>
    <x v="0"/>
    <x v="9"/>
    <x v="4"/>
    <x v="7"/>
    <x v="189"/>
    <x v="0"/>
    <x v="14"/>
    <x v="0"/>
    <n v="114520"/>
  </r>
  <r>
    <s v="CSKU17252_3ES"/>
    <x v="2"/>
    <x v="0"/>
    <x v="0"/>
    <x v="2"/>
    <x v="1"/>
    <x v="7"/>
    <x v="189"/>
    <x v="0"/>
    <x v="14"/>
    <x v="0"/>
    <n v="126070"/>
  </r>
  <r>
    <s v="CSKU17253_3ES"/>
    <x v="2"/>
    <x v="0"/>
    <x v="0"/>
    <x v="8"/>
    <x v="1"/>
    <x v="7"/>
    <x v="189"/>
    <x v="0"/>
    <x v="14"/>
    <x v="0"/>
    <n v="129630"/>
  </r>
  <r>
    <s v="CSKU17254_3ES"/>
    <x v="2"/>
    <x v="0"/>
    <x v="0"/>
    <x v="9"/>
    <x v="1"/>
    <x v="7"/>
    <x v="189"/>
    <x v="0"/>
    <x v="14"/>
    <x v="0"/>
    <n v="134940"/>
  </r>
  <r>
    <s v="CSKU17255_3ES"/>
    <x v="2"/>
    <x v="0"/>
    <x v="1"/>
    <x v="2"/>
    <x v="4"/>
    <x v="7"/>
    <x v="189"/>
    <x v="1"/>
    <x v="14"/>
    <x v="0"/>
    <n v="112530"/>
  </r>
  <r>
    <s v="CSKU17256_3ES"/>
    <x v="2"/>
    <x v="0"/>
    <x v="1"/>
    <x v="2"/>
    <x v="1"/>
    <x v="7"/>
    <x v="189"/>
    <x v="1"/>
    <x v="14"/>
    <x v="0"/>
    <n v="132250"/>
  </r>
  <r>
    <s v="CSKU17257_3ES"/>
    <x v="2"/>
    <x v="0"/>
    <x v="1"/>
    <x v="8"/>
    <x v="4"/>
    <x v="7"/>
    <x v="189"/>
    <x v="1"/>
    <x v="14"/>
    <x v="0"/>
    <n v="116510"/>
  </r>
  <r>
    <s v="CSKU17430_3ES"/>
    <x v="2"/>
    <x v="0"/>
    <x v="0"/>
    <x v="8"/>
    <x v="4"/>
    <x v="7"/>
    <x v="192"/>
    <x v="0"/>
    <x v="14"/>
    <x v="0"/>
    <n v="85180"/>
  </r>
  <r>
    <s v="CSKU17285_3ES"/>
    <x v="2"/>
    <x v="0"/>
    <x v="0"/>
    <x v="2"/>
    <x v="4"/>
    <x v="7"/>
    <x v="190"/>
    <x v="0"/>
    <x v="14"/>
    <x v="0"/>
    <n v="74900"/>
  </r>
  <r>
    <s v="CSKU17286_3ES"/>
    <x v="2"/>
    <x v="0"/>
    <x v="0"/>
    <x v="2"/>
    <x v="1"/>
    <x v="7"/>
    <x v="190"/>
    <x v="0"/>
    <x v="14"/>
    <x v="0"/>
    <n v="87030"/>
  </r>
  <r>
    <s v="CSKU17287_3ES"/>
    <x v="2"/>
    <x v="0"/>
    <x v="0"/>
    <x v="8"/>
    <x v="4"/>
    <x v="7"/>
    <x v="190"/>
    <x v="0"/>
    <x v="14"/>
    <x v="0"/>
    <n v="78460"/>
  </r>
  <r>
    <s v="CSKU17431_3ES"/>
    <x v="2"/>
    <x v="0"/>
    <x v="0"/>
    <x v="9"/>
    <x v="4"/>
    <x v="7"/>
    <x v="192"/>
    <x v="0"/>
    <x v="14"/>
    <x v="0"/>
    <n v="88720"/>
  </r>
  <r>
    <s v="CSKU17432_3ES"/>
    <x v="2"/>
    <x v="0"/>
    <x v="0"/>
    <x v="2"/>
    <x v="1"/>
    <x v="7"/>
    <x v="192"/>
    <x v="0"/>
    <x v="14"/>
    <x v="0"/>
    <n v="93130"/>
  </r>
  <r>
    <s v="CSKU17321_3ES"/>
    <x v="2"/>
    <x v="0"/>
    <x v="0"/>
    <x v="2"/>
    <x v="4"/>
    <x v="7"/>
    <x v="191"/>
    <x v="0"/>
    <x v="14"/>
    <x v="0"/>
    <n v="107420"/>
  </r>
  <r>
    <s v="CSKU17393_3ES"/>
    <x v="2"/>
    <x v="0"/>
    <x v="0"/>
    <x v="2"/>
    <x v="4"/>
    <x v="7"/>
    <x v="334"/>
    <x v="0"/>
    <x v="14"/>
    <x v="0"/>
    <n v="98820"/>
  </r>
  <r>
    <s v="CSKU17394_3ES"/>
    <x v="2"/>
    <x v="0"/>
    <x v="0"/>
    <x v="8"/>
    <x v="4"/>
    <x v="7"/>
    <x v="334"/>
    <x v="0"/>
    <x v="14"/>
    <x v="0"/>
    <n v="102380"/>
  </r>
  <r>
    <s v="CSKU17395_3ES"/>
    <x v="2"/>
    <x v="0"/>
    <x v="0"/>
    <x v="9"/>
    <x v="4"/>
    <x v="7"/>
    <x v="334"/>
    <x v="0"/>
    <x v="14"/>
    <x v="0"/>
    <n v="105920"/>
  </r>
  <r>
    <s v="CSKU17396_3ES"/>
    <x v="2"/>
    <x v="0"/>
    <x v="0"/>
    <x v="2"/>
    <x v="1"/>
    <x v="7"/>
    <x v="334"/>
    <x v="0"/>
    <x v="14"/>
    <x v="0"/>
    <n v="115090"/>
  </r>
  <r>
    <s v="CSKU17397_3ES"/>
    <x v="2"/>
    <x v="0"/>
    <x v="0"/>
    <x v="8"/>
    <x v="1"/>
    <x v="7"/>
    <x v="334"/>
    <x v="0"/>
    <x v="14"/>
    <x v="0"/>
    <n v="118650"/>
  </r>
  <r>
    <s v="CSKU17398_3ES"/>
    <x v="2"/>
    <x v="0"/>
    <x v="0"/>
    <x v="9"/>
    <x v="1"/>
    <x v="7"/>
    <x v="334"/>
    <x v="0"/>
    <x v="14"/>
    <x v="0"/>
    <n v="123960"/>
  </r>
  <r>
    <s v="CSKU17399_3ES"/>
    <x v="2"/>
    <x v="0"/>
    <x v="1"/>
    <x v="2"/>
    <x v="4"/>
    <x v="7"/>
    <x v="334"/>
    <x v="1"/>
    <x v="14"/>
    <x v="0"/>
    <n v="103930"/>
  </r>
  <r>
    <s v="CSKU17400_3ES"/>
    <x v="2"/>
    <x v="0"/>
    <x v="1"/>
    <x v="2"/>
    <x v="1"/>
    <x v="7"/>
    <x v="334"/>
    <x v="1"/>
    <x v="14"/>
    <x v="0"/>
    <n v="121270"/>
  </r>
  <r>
    <s v="CSKU17322_3ES"/>
    <x v="2"/>
    <x v="0"/>
    <x v="0"/>
    <x v="8"/>
    <x v="4"/>
    <x v="7"/>
    <x v="191"/>
    <x v="0"/>
    <x v="14"/>
    <x v="0"/>
    <n v="110980"/>
  </r>
  <r>
    <s v="CSKU17323_3ES"/>
    <x v="2"/>
    <x v="0"/>
    <x v="0"/>
    <x v="9"/>
    <x v="4"/>
    <x v="7"/>
    <x v="191"/>
    <x v="0"/>
    <x v="14"/>
    <x v="0"/>
    <n v="114520"/>
  </r>
  <r>
    <s v="CSKU17324_3ES"/>
    <x v="2"/>
    <x v="0"/>
    <x v="0"/>
    <x v="2"/>
    <x v="1"/>
    <x v="7"/>
    <x v="191"/>
    <x v="0"/>
    <x v="14"/>
    <x v="0"/>
    <n v="126070"/>
  </r>
  <r>
    <s v="CSKU17325_3ES"/>
    <x v="2"/>
    <x v="0"/>
    <x v="0"/>
    <x v="8"/>
    <x v="1"/>
    <x v="7"/>
    <x v="191"/>
    <x v="0"/>
    <x v="14"/>
    <x v="0"/>
    <n v="129630"/>
  </r>
  <r>
    <s v="CSKU17326_3ES"/>
    <x v="2"/>
    <x v="0"/>
    <x v="0"/>
    <x v="9"/>
    <x v="1"/>
    <x v="7"/>
    <x v="191"/>
    <x v="0"/>
    <x v="14"/>
    <x v="0"/>
    <n v="134940"/>
  </r>
  <r>
    <s v="CSKU17327_3ES"/>
    <x v="2"/>
    <x v="0"/>
    <x v="1"/>
    <x v="2"/>
    <x v="4"/>
    <x v="7"/>
    <x v="191"/>
    <x v="1"/>
    <x v="14"/>
    <x v="0"/>
    <n v="112530"/>
  </r>
  <r>
    <s v="CSKU17328_3ES"/>
    <x v="2"/>
    <x v="0"/>
    <x v="1"/>
    <x v="2"/>
    <x v="1"/>
    <x v="7"/>
    <x v="191"/>
    <x v="1"/>
    <x v="14"/>
    <x v="0"/>
    <n v="132250"/>
  </r>
  <r>
    <s v="CSKU17401_3ES"/>
    <x v="2"/>
    <x v="0"/>
    <x v="1"/>
    <x v="8"/>
    <x v="4"/>
    <x v="7"/>
    <x v="334"/>
    <x v="1"/>
    <x v="14"/>
    <x v="0"/>
    <n v="107910"/>
  </r>
  <r>
    <s v="CSKU17402_3ES"/>
    <x v="2"/>
    <x v="0"/>
    <x v="1"/>
    <x v="8"/>
    <x v="1"/>
    <x v="7"/>
    <x v="334"/>
    <x v="1"/>
    <x v="14"/>
    <x v="0"/>
    <n v="125240"/>
  </r>
  <r>
    <s v="CSKU17357_3ES"/>
    <x v="2"/>
    <x v="0"/>
    <x v="0"/>
    <x v="2"/>
    <x v="4"/>
    <x v="7"/>
    <x v="333"/>
    <x v="0"/>
    <x v="14"/>
    <x v="0"/>
    <n v="74900"/>
  </r>
  <r>
    <s v="CSKU17358_3ES"/>
    <x v="2"/>
    <x v="0"/>
    <x v="0"/>
    <x v="2"/>
    <x v="1"/>
    <x v="7"/>
    <x v="333"/>
    <x v="0"/>
    <x v="14"/>
    <x v="0"/>
    <n v="87030"/>
  </r>
  <r>
    <s v="CSKU17359_3ES"/>
    <x v="2"/>
    <x v="0"/>
    <x v="0"/>
    <x v="8"/>
    <x v="4"/>
    <x v="7"/>
    <x v="333"/>
    <x v="0"/>
    <x v="14"/>
    <x v="0"/>
    <n v="78460"/>
  </r>
  <r>
    <s v="CSKU17360_3ES"/>
    <x v="2"/>
    <x v="0"/>
    <x v="0"/>
    <x v="8"/>
    <x v="1"/>
    <x v="7"/>
    <x v="333"/>
    <x v="0"/>
    <x v="14"/>
    <x v="0"/>
    <n v="90590"/>
  </r>
  <r>
    <s v="CSKU17361_3ES"/>
    <x v="2"/>
    <x v="0"/>
    <x v="0"/>
    <x v="9"/>
    <x v="4"/>
    <x v="7"/>
    <x v="333"/>
    <x v="0"/>
    <x v="14"/>
    <x v="0"/>
    <n v="82000"/>
  </r>
  <r>
    <s v="CSKU16999_3ES"/>
    <x v="2"/>
    <x v="0"/>
    <x v="0"/>
    <x v="9"/>
    <x v="4"/>
    <x v="7"/>
    <x v="186"/>
    <x v="0"/>
    <x v="14"/>
    <x v="0"/>
    <n v="81060"/>
  </r>
  <r>
    <s v="CSKU17000_3ES"/>
    <x v="2"/>
    <x v="0"/>
    <x v="0"/>
    <x v="2"/>
    <x v="1"/>
    <x v="7"/>
    <x v="186"/>
    <x v="0"/>
    <x v="14"/>
    <x v="0"/>
    <n v="84590"/>
  </r>
  <r>
    <s v="CSKU17001_3ES"/>
    <x v="2"/>
    <x v="0"/>
    <x v="0"/>
    <x v="8"/>
    <x v="1"/>
    <x v="7"/>
    <x v="186"/>
    <x v="0"/>
    <x v="14"/>
    <x v="0"/>
    <n v="88150"/>
  </r>
  <r>
    <s v="CSKU17002_3ES"/>
    <x v="2"/>
    <x v="0"/>
    <x v="0"/>
    <x v="9"/>
    <x v="1"/>
    <x v="7"/>
    <x v="186"/>
    <x v="0"/>
    <x v="14"/>
    <x v="0"/>
    <n v="93460"/>
  </r>
  <r>
    <s v="CSKU17003_3ES"/>
    <x v="2"/>
    <x v="0"/>
    <x v="1"/>
    <x v="2"/>
    <x v="4"/>
    <x v="7"/>
    <x v="186"/>
    <x v="1"/>
    <x v="14"/>
    <x v="0"/>
    <n v="79710"/>
  </r>
  <r>
    <s v="CSKU17004_3ES"/>
    <x v="2"/>
    <x v="0"/>
    <x v="1"/>
    <x v="2"/>
    <x v="1"/>
    <x v="7"/>
    <x v="186"/>
    <x v="1"/>
    <x v="14"/>
    <x v="0"/>
    <n v="91410"/>
  </r>
  <r>
    <s v="CSKU17005_3ES"/>
    <x v="2"/>
    <x v="0"/>
    <x v="1"/>
    <x v="8"/>
    <x v="4"/>
    <x v="7"/>
    <x v="186"/>
    <x v="1"/>
    <x v="14"/>
    <x v="0"/>
    <n v="83690"/>
  </r>
  <r>
    <s v="CSKU17006_3ES"/>
    <x v="2"/>
    <x v="0"/>
    <x v="1"/>
    <x v="8"/>
    <x v="1"/>
    <x v="7"/>
    <x v="186"/>
    <x v="1"/>
    <x v="14"/>
    <x v="0"/>
    <n v="95380"/>
  </r>
  <r>
    <s v="CSKU17007_3ES"/>
    <x v="2"/>
    <x v="0"/>
    <x v="1"/>
    <x v="9"/>
    <x v="4"/>
    <x v="7"/>
    <x v="186"/>
    <x v="1"/>
    <x v="14"/>
    <x v="0"/>
    <n v="87660"/>
  </r>
  <r>
    <s v="CSKU17008_3ES"/>
    <x v="2"/>
    <x v="0"/>
    <x v="1"/>
    <x v="9"/>
    <x v="1"/>
    <x v="7"/>
    <x v="186"/>
    <x v="1"/>
    <x v="14"/>
    <x v="0"/>
    <n v="101340"/>
  </r>
  <r>
    <s v="CSKU16889_3ES"/>
    <x v="2"/>
    <x v="0"/>
    <x v="0"/>
    <x v="2"/>
    <x v="4"/>
    <x v="7"/>
    <x v="339"/>
    <x v="0"/>
    <x v="14"/>
    <x v="0"/>
    <n v="91160"/>
  </r>
  <r>
    <s v="CSKU16890_3ES"/>
    <x v="2"/>
    <x v="0"/>
    <x v="0"/>
    <x v="8"/>
    <x v="4"/>
    <x v="7"/>
    <x v="339"/>
    <x v="0"/>
    <x v="14"/>
    <x v="0"/>
    <n v="94720"/>
  </r>
  <r>
    <s v="CSKU16891_3ES"/>
    <x v="2"/>
    <x v="0"/>
    <x v="0"/>
    <x v="9"/>
    <x v="4"/>
    <x v="7"/>
    <x v="339"/>
    <x v="0"/>
    <x v="14"/>
    <x v="0"/>
    <n v="98260"/>
  </r>
  <r>
    <s v="CSKU16892_3ES"/>
    <x v="2"/>
    <x v="0"/>
    <x v="0"/>
    <x v="2"/>
    <x v="1"/>
    <x v="7"/>
    <x v="339"/>
    <x v="0"/>
    <x v="14"/>
    <x v="0"/>
    <n v="106550"/>
  </r>
  <r>
    <s v="CSKU16926_3ES"/>
    <x v="2"/>
    <x v="0"/>
    <x v="0"/>
    <x v="8"/>
    <x v="4"/>
    <x v="7"/>
    <x v="185"/>
    <x v="0"/>
    <x v="14"/>
    <x v="0"/>
    <n v="94720"/>
  </r>
  <r>
    <s v="CSKU16927_3ES"/>
    <x v="2"/>
    <x v="0"/>
    <x v="0"/>
    <x v="9"/>
    <x v="4"/>
    <x v="7"/>
    <x v="185"/>
    <x v="0"/>
    <x v="14"/>
    <x v="0"/>
    <n v="98260"/>
  </r>
  <r>
    <s v="CSKU16928_3ES"/>
    <x v="2"/>
    <x v="0"/>
    <x v="0"/>
    <x v="2"/>
    <x v="1"/>
    <x v="7"/>
    <x v="185"/>
    <x v="0"/>
    <x v="14"/>
    <x v="0"/>
    <n v="106550"/>
  </r>
  <r>
    <s v="CSKU16929_3ES"/>
    <x v="2"/>
    <x v="0"/>
    <x v="0"/>
    <x v="8"/>
    <x v="1"/>
    <x v="7"/>
    <x v="185"/>
    <x v="0"/>
    <x v="14"/>
    <x v="0"/>
    <n v="110110"/>
  </r>
  <r>
    <s v="CSKU16930_3ES"/>
    <x v="2"/>
    <x v="0"/>
    <x v="0"/>
    <x v="9"/>
    <x v="1"/>
    <x v="7"/>
    <x v="185"/>
    <x v="0"/>
    <x v="14"/>
    <x v="0"/>
    <n v="115420"/>
  </r>
  <r>
    <s v="CSKU16931_3ES"/>
    <x v="2"/>
    <x v="0"/>
    <x v="1"/>
    <x v="2"/>
    <x v="4"/>
    <x v="7"/>
    <x v="185"/>
    <x v="1"/>
    <x v="14"/>
    <x v="0"/>
    <n v="96910"/>
  </r>
  <r>
    <s v="CSKU16932_3ES"/>
    <x v="2"/>
    <x v="0"/>
    <x v="1"/>
    <x v="2"/>
    <x v="1"/>
    <x v="7"/>
    <x v="185"/>
    <x v="1"/>
    <x v="14"/>
    <x v="0"/>
    <n v="113370"/>
  </r>
  <r>
    <s v="CSKU16933_3ES"/>
    <x v="2"/>
    <x v="0"/>
    <x v="1"/>
    <x v="8"/>
    <x v="4"/>
    <x v="7"/>
    <x v="185"/>
    <x v="1"/>
    <x v="14"/>
    <x v="0"/>
    <n v="100890"/>
  </r>
  <r>
    <s v="CSKU16934_3ES"/>
    <x v="2"/>
    <x v="0"/>
    <x v="1"/>
    <x v="8"/>
    <x v="1"/>
    <x v="7"/>
    <x v="185"/>
    <x v="1"/>
    <x v="14"/>
    <x v="0"/>
    <n v="117340"/>
  </r>
  <r>
    <s v="CSKU16935_3ES"/>
    <x v="2"/>
    <x v="0"/>
    <x v="1"/>
    <x v="9"/>
    <x v="4"/>
    <x v="7"/>
    <x v="185"/>
    <x v="1"/>
    <x v="14"/>
    <x v="0"/>
    <n v="104860"/>
  </r>
  <r>
    <s v="CSKU16961_3ES"/>
    <x v="2"/>
    <x v="0"/>
    <x v="0"/>
    <x v="2"/>
    <x v="4"/>
    <x v="7"/>
    <x v="340"/>
    <x v="0"/>
    <x v="14"/>
    <x v="0"/>
    <n v="91160"/>
  </r>
  <r>
    <s v="CSKU16962_3ES"/>
    <x v="2"/>
    <x v="0"/>
    <x v="0"/>
    <x v="8"/>
    <x v="4"/>
    <x v="7"/>
    <x v="340"/>
    <x v="0"/>
    <x v="14"/>
    <x v="0"/>
    <n v="94720"/>
  </r>
  <r>
    <s v="CSKU16963_3ES"/>
    <x v="2"/>
    <x v="0"/>
    <x v="0"/>
    <x v="9"/>
    <x v="4"/>
    <x v="7"/>
    <x v="340"/>
    <x v="0"/>
    <x v="14"/>
    <x v="0"/>
    <n v="98260"/>
  </r>
  <r>
    <s v="CSKU16964_3ES"/>
    <x v="2"/>
    <x v="0"/>
    <x v="0"/>
    <x v="2"/>
    <x v="1"/>
    <x v="7"/>
    <x v="340"/>
    <x v="0"/>
    <x v="14"/>
    <x v="0"/>
    <n v="106550"/>
  </r>
  <r>
    <s v="CSKU16965_3ES"/>
    <x v="2"/>
    <x v="0"/>
    <x v="0"/>
    <x v="8"/>
    <x v="1"/>
    <x v="7"/>
    <x v="340"/>
    <x v="0"/>
    <x v="14"/>
    <x v="0"/>
    <n v="110110"/>
  </r>
  <r>
    <s v="CSKU16966_3ES"/>
    <x v="2"/>
    <x v="0"/>
    <x v="0"/>
    <x v="9"/>
    <x v="1"/>
    <x v="7"/>
    <x v="340"/>
    <x v="0"/>
    <x v="14"/>
    <x v="0"/>
    <n v="115420"/>
  </r>
  <r>
    <s v="CSKU16967_3ES"/>
    <x v="2"/>
    <x v="0"/>
    <x v="1"/>
    <x v="2"/>
    <x v="4"/>
    <x v="7"/>
    <x v="340"/>
    <x v="1"/>
    <x v="14"/>
    <x v="0"/>
    <n v="96910"/>
  </r>
  <r>
    <s v="CSKU17033_3ES"/>
    <x v="2"/>
    <x v="0"/>
    <x v="0"/>
    <x v="2"/>
    <x v="4"/>
    <x v="7"/>
    <x v="187"/>
    <x v="0"/>
    <x v="14"/>
    <x v="0"/>
    <n v="90220"/>
  </r>
  <r>
    <s v="CSKU17034_3ES"/>
    <x v="2"/>
    <x v="0"/>
    <x v="0"/>
    <x v="8"/>
    <x v="4"/>
    <x v="7"/>
    <x v="187"/>
    <x v="0"/>
    <x v="14"/>
    <x v="0"/>
    <n v="93780"/>
  </r>
  <r>
    <s v="CSKU17035_3ES"/>
    <x v="2"/>
    <x v="0"/>
    <x v="0"/>
    <x v="9"/>
    <x v="4"/>
    <x v="7"/>
    <x v="187"/>
    <x v="0"/>
    <x v="14"/>
    <x v="0"/>
    <n v="97320"/>
  </r>
  <r>
    <s v="CSKU17036_3ES"/>
    <x v="2"/>
    <x v="0"/>
    <x v="0"/>
    <x v="2"/>
    <x v="1"/>
    <x v="7"/>
    <x v="187"/>
    <x v="0"/>
    <x v="14"/>
    <x v="0"/>
    <n v="104110"/>
  </r>
  <r>
    <s v="CSKU17037_3ES"/>
    <x v="2"/>
    <x v="0"/>
    <x v="0"/>
    <x v="8"/>
    <x v="1"/>
    <x v="7"/>
    <x v="187"/>
    <x v="0"/>
    <x v="14"/>
    <x v="0"/>
    <n v="107670"/>
  </r>
  <r>
    <s v="CSKU17038_3ES"/>
    <x v="2"/>
    <x v="0"/>
    <x v="0"/>
    <x v="9"/>
    <x v="1"/>
    <x v="7"/>
    <x v="187"/>
    <x v="0"/>
    <x v="14"/>
    <x v="0"/>
    <n v="112980"/>
  </r>
  <r>
    <s v="CSKU17143_3ES"/>
    <x v="2"/>
    <x v="0"/>
    <x v="0"/>
    <x v="9"/>
    <x v="4"/>
    <x v="7"/>
    <x v="337"/>
    <x v="0"/>
    <x v="14"/>
    <x v="0"/>
    <n v="92640"/>
  </r>
  <r>
    <s v="CSKU17105_3ES"/>
    <x v="2"/>
    <x v="0"/>
    <x v="0"/>
    <x v="2"/>
    <x v="4"/>
    <x v="7"/>
    <x v="341"/>
    <x v="0"/>
    <x v="14"/>
    <x v="0"/>
    <n v="85540"/>
  </r>
  <r>
    <s v="CSKU17106_3ES"/>
    <x v="2"/>
    <x v="0"/>
    <x v="0"/>
    <x v="8"/>
    <x v="4"/>
    <x v="7"/>
    <x v="341"/>
    <x v="0"/>
    <x v="14"/>
    <x v="0"/>
    <n v="89100"/>
  </r>
  <r>
    <s v="CSKU17107_3ES"/>
    <x v="2"/>
    <x v="0"/>
    <x v="0"/>
    <x v="9"/>
    <x v="4"/>
    <x v="7"/>
    <x v="341"/>
    <x v="0"/>
    <x v="14"/>
    <x v="0"/>
    <n v="92640"/>
  </r>
  <r>
    <s v="CSKU17108_3ES"/>
    <x v="2"/>
    <x v="0"/>
    <x v="0"/>
    <x v="2"/>
    <x v="1"/>
    <x v="7"/>
    <x v="341"/>
    <x v="0"/>
    <x v="14"/>
    <x v="0"/>
    <n v="98870"/>
  </r>
  <r>
    <s v="CSKU17109_3ES"/>
    <x v="2"/>
    <x v="0"/>
    <x v="0"/>
    <x v="8"/>
    <x v="1"/>
    <x v="7"/>
    <x v="341"/>
    <x v="0"/>
    <x v="14"/>
    <x v="0"/>
    <n v="102430"/>
  </r>
  <r>
    <s v="CSKU17110_3ES"/>
    <x v="2"/>
    <x v="0"/>
    <x v="0"/>
    <x v="9"/>
    <x v="1"/>
    <x v="7"/>
    <x v="341"/>
    <x v="0"/>
    <x v="14"/>
    <x v="0"/>
    <n v="107740"/>
  </r>
  <r>
    <s v="CSKU17111_3ES"/>
    <x v="2"/>
    <x v="0"/>
    <x v="1"/>
    <x v="2"/>
    <x v="4"/>
    <x v="7"/>
    <x v="341"/>
    <x v="1"/>
    <x v="14"/>
    <x v="0"/>
    <n v="90650"/>
  </r>
  <r>
    <s v="CSKU17112_3ES"/>
    <x v="2"/>
    <x v="0"/>
    <x v="1"/>
    <x v="2"/>
    <x v="1"/>
    <x v="7"/>
    <x v="341"/>
    <x v="1"/>
    <x v="14"/>
    <x v="0"/>
    <n v="105050"/>
  </r>
  <r>
    <s v="CSKU17186_3ES"/>
    <x v="2"/>
    <x v="0"/>
    <x v="1"/>
    <x v="8"/>
    <x v="1"/>
    <x v="7"/>
    <x v="338"/>
    <x v="1"/>
    <x v="14"/>
    <x v="0"/>
    <n v="98460"/>
  </r>
  <r>
    <s v="CSKU17113_3ES"/>
    <x v="2"/>
    <x v="0"/>
    <x v="1"/>
    <x v="8"/>
    <x v="4"/>
    <x v="7"/>
    <x v="341"/>
    <x v="1"/>
    <x v="14"/>
    <x v="0"/>
    <n v="94630"/>
  </r>
  <r>
    <s v="CSKU17114_3ES"/>
    <x v="2"/>
    <x v="0"/>
    <x v="1"/>
    <x v="8"/>
    <x v="1"/>
    <x v="7"/>
    <x v="341"/>
    <x v="1"/>
    <x v="14"/>
    <x v="0"/>
    <n v="109020"/>
  </r>
  <r>
    <s v="CSKU17115_3ES"/>
    <x v="2"/>
    <x v="0"/>
    <x v="1"/>
    <x v="9"/>
    <x v="4"/>
    <x v="7"/>
    <x v="341"/>
    <x v="1"/>
    <x v="14"/>
    <x v="0"/>
    <n v="98600"/>
  </r>
  <r>
    <s v="CSKU17116_3ES"/>
    <x v="2"/>
    <x v="0"/>
    <x v="1"/>
    <x v="9"/>
    <x v="1"/>
    <x v="7"/>
    <x v="341"/>
    <x v="1"/>
    <x v="14"/>
    <x v="0"/>
    <n v="114980"/>
  </r>
  <r>
    <s v="CSKU17144_3ES"/>
    <x v="2"/>
    <x v="0"/>
    <x v="0"/>
    <x v="2"/>
    <x v="1"/>
    <x v="7"/>
    <x v="337"/>
    <x v="0"/>
    <x v="14"/>
    <x v="0"/>
    <n v="98870"/>
  </r>
  <r>
    <s v="CSKU17145_3ES"/>
    <x v="2"/>
    <x v="0"/>
    <x v="0"/>
    <x v="8"/>
    <x v="1"/>
    <x v="7"/>
    <x v="337"/>
    <x v="0"/>
    <x v="14"/>
    <x v="0"/>
    <n v="102430"/>
  </r>
  <r>
    <s v="CSKU17146_3ES"/>
    <x v="2"/>
    <x v="0"/>
    <x v="0"/>
    <x v="9"/>
    <x v="1"/>
    <x v="7"/>
    <x v="337"/>
    <x v="0"/>
    <x v="14"/>
    <x v="0"/>
    <n v="107740"/>
  </r>
  <r>
    <s v="CSKU17147_3ES"/>
    <x v="2"/>
    <x v="0"/>
    <x v="1"/>
    <x v="2"/>
    <x v="4"/>
    <x v="7"/>
    <x v="337"/>
    <x v="1"/>
    <x v="14"/>
    <x v="0"/>
    <n v="90650"/>
  </r>
  <r>
    <s v="CSKU17148_3ES"/>
    <x v="2"/>
    <x v="0"/>
    <x v="1"/>
    <x v="2"/>
    <x v="1"/>
    <x v="7"/>
    <x v="337"/>
    <x v="1"/>
    <x v="14"/>
    <x v="0"/>
    <n v="105050"/>
  </r>
  <r>
    <s v="CSKU17149_3ES"/>
    <x v="2"/>
    <x v="0"/>
    <x v="1"/>
    <x v="8"/>
    <x v="4"/>
    <x v="7"/>
    <x v="337"/>
    <x v="1"/>
    <x v="14"/>
    <x v="0"/>
    <n v="94630"/>
  </r>
  <r>
    <s v="CSKU17150_3ES"/>
    <x v="2"/>
    <x v="0"/>
    <x v="1"/>
    <x v="8"/>
    <x v="1"/>
    <x v="7"/>
    <x v="337"/>
    <x v="1"/>
    <x v="14"/>
    <x v="0"/>
    <n v="109020"/>
  </r>
  <r>
    <s v="CSKU17151_3ES"/>
    <x v="2"/>
    <x v="0"/>
    <x v="1"/>
    <x v="9"/>
    <x v="4"/>
    <x v="7"/>
    <x v="337"/>
    <x v="1"/>
    <x v="14"/>
    <x v="0"/>
    <n v="98600"/>
  </r>
  <r>
    <s v="CSKU17152_3ES"/>
    <x v="2"/>
    <x v="0"/>
    <x v="1"/>
    <x v="9"/>
    <x v="1"/>
    <x v="7"/>
    <x v="337"/>
    <x v="1"/>
    <x v="14"/>
    <x v="0"/>
    <n v="114980"/>
  </r>
  <r>
    <s v="CSKU17187_3ES"/>
    <x v="2"/>
    <x v="0"/>
    <x v="1"/>
    <x v="9"/>
    <x v="4"/>
    <x v="7"/>
    <x v="338"/>
    <x v="1"/>
    <x v="14"/>
    <x v="0"/>
    <n v="89240"/>
  </r>
  <r>
    <s v="CSKU17188_3ES"/>
    <x v="2"/>
    <x v="0"/>
    <x v="1"/>
    <x v="9"/>
    <x v="1"/>
    <x v="7"/>
    <x v="338"/>
    <x v="1"/>
    <x v="14"/>
    <x v="0"/>
    <n v="104420"/>
  </r>
  <r>
    <s v="CSKU17249_3ES"/>
    <x v="2"/>
    <x v="0"/>
    <x v="0"/>
    <x v="2"/>
    <x v="4"/>
    <x v="7"/>
    <x v="189"/>
    <x v="0"/>
    <x v="14"/>
    <x v="0"/>
    <n v="107420"/>
  </r>
  <r>
    <s v="CSKU17250_3ES"/>
    <x v="2"/>
    <x v="0"/>
    <x v="0"/>
    <x v="8"/>
    <x v="4"/>
    <x v="7"/>
    <x v="189"/>
    <x v="0"/>
    <x v="14"/>
    <x v="0"/>
    <n v="110980"/>
  </r>
  <r>
    <s v="CSKU16893_3ES"/>
    <x v="2"/>
    <x v="0"/>
    <x v="0"/>
    <x v="8"/>
    <x v="1"/>
    <x v="7"/>
    <x v="339"/>
    <x v="0"/>
    <x v="14"/>
    <x v="0"/>
    <n v="110110"/>
  </r>
  <r>
    <s v="CSKU16936_3ES"/>
    <x v="2"/>
    <x v="0"/>
    <x v="1"/>
    <x v="9"/>
    <x v="1"/>
    <x v="7"/>
    <x v="185"/>
    <x v="1"/>
    <x v="14"/>
    <x v="0"/>
    <n v="123300"/>
  </r>
  <r>
    <s v="CSKU16968_3ES"/>
    <x v="2"/>
    <x v="0"/>
    <x v="1"/>
    <x v="2"/>
    <x v="1"/>
    <x v="7"/>
    <x v="340"/>
    <x v="1"/>
    <x v="14"/>
    <x v="0"/>
    <n v="113370"/>
  </r>
  <r>
    <s v="CSKU16717_3ES"/>
    <x v="2"/>
    <x v="0"/>
    <x v="1"/>
    <x v="8"/>
    <x v="4"/>
    <x v="7"/>
    <x v="184"/>
    <x v="1"/>
    <x v="14"/>
    <x v="0"/>
    <n v="100890"/>
  </r>
  <r>
    <s v="CSKU16718_3ES"/>
    <x v="2"/>
    <x v="0"/>
    <x v="1"/>
    <x v="8"/>
    <x v="1"/>
    <x v="7"/>
    <x v="184"/>
    <x v="1"/>
    <x v="14"/>
    <x v="0"/>
    <n v="117340"/>
  </r>
  <r>
    <s v="CSKU16719_3ES"/>
    <x v="2"/>
    <x v="0"/>
    <x v="1"/>
    <x v="9"/>
    <x v="4"/>
    <x v="7"/>
    <x v="184"/>
    <x v="1"/>
    <x v="14"/>
    <x v="0"/>
    <n v="104860"/>
  </r>
  <r>
    <s v="CSKU16720_3ES"/>
    <x v="2"/>
    <x v="0"/>
    <x v="1"/>
    <x v="9"/>
    <x v="1"/>
    <x v="7"/>
    <x v="184"/>
    <x v="1"/>
    <x v="14"/>
    <x v="0"/>
    <n v="123300"/>
  </r>
  <r>
    <s v="CSKU16894_3ES"/>
    <x v="2"/>
    <x v="0"/>
    <x v="0"/>
    <x v="9"/>
    <x v="1"/>
    <x v="7"/>
    <x v="339"/>
    <x v="0"/>
    <x v="14"/>
    <x v="0"/>
    <n v="115420"/>
  </r>
  <r>
    <s v="CSKU16895_3ES"/>
    <x v="2"/>
    <x v="0"/>
    <x v="1"/>
    <x v="2"/>
    <x v="4"/>
    <x v="7"/>
    <x v="339"/>
    <x v="1"/>
    <x v="14"/>
    <x v="0"/>
    <n v="96910"/>
  </r>
  <r>
    <s v="CSKU16896_3ES"/>
    <x v="2"/>
    <x v="0"/>
    <x v="1"/>
    <x v="2"/>
    <x v="1"/>
    <x v="7"/>
    <x v="339"/>
    <x v="1"/>
    <x v="14"/>
    <x v="0"/>
    <n v="113370"/>
  </r>
  <r>
    <s v="CSKU16897_3ES"/>
    <x v="2"/>
    <x v="0"/>
    <x v="1"/>
    <x v="8"/>
    <x v="4"/>
    <x v="7"/>
    <x v="339"/>
    <x v="1"/>
    <x v="14"/>
    <x v="0"/>
    <n v="100890"/>
  </r>
  <r>
    <s v="CSKU16898_3ES"/>
    <x v="2"/>
    <x v="0"/>
    <x v="1"/>
    <x v="8"/>
    <x v="1"/>
    <x v="7"/>
    <x v="339"/>
    <x v="1"/>
    <x v="14"/>
    <x v="0"/>
    <n v="117340"/>
  </r>
  <r>
    <s v="CSKU16899_3ES"/>
    <x v="2"/>
    <x v="0"/>
    <x v="1"/>
    <x v="9"/>
    <x v="4"/>
    <x v="7"/>
    <x v="339"/>
    <x v="1"/>
    <x v="14"/>
    <x v="0"/>
    <n v="104860"/>
  </r>
  <r>
    <s v="CSKU16900_3ES"/>
    <x v="2"/>
    <x v="0"/>
    <x v="1"/>
    <x v="9"/>
    <x v="1"/>
    <x v="7"/>
    <x v="339"/>
    <x v="1"/>
    <x v="14"/>
    <x v="0"/>
    <n v="123300"/>
  </r>
  <r>
    <s v="CSKU16969_3ES"/>
    <x v="2"/>
    <x v="0"/>
    <x v="1"/>
    <x v="8"/>
    <x v="4"/>
    <x v="7"/>
    <x v="340"/>
    <x v="1"/>
    <x v="14"/>
    <x v="0"/>
    <n v="100890"/>
  </r>
  <r>
    <s v="CSKU16970_3ES"/>
    <x v="2"/>
    <x v="0"/>
    <x v="1"/>
    <x v="8"/>
    <x v="1"/>
    <x v="7"/>
    <x v="340"/>
    <x v="1"/>
    <x v="14"/>
    <x v="0"/>
    <n v="117340"/>
  </r>
  <r>
    <s v="CSKU16971_3ES"/>
    <x v="2"/>
    <x v="0"/>
    <x v="1"/>
    <x v="9"/>
    <x v="4"/>
    <x v="7"/>
    <x v="340"/>
    <x v="1"/>
    <x v="14"/>
    <x v="0"/>
    <n v="104860"/>
  </r>
  <r>
    <s v="CSKU16972_3ES"/>
    <x v="2"/>
    <x v="0"/>
    <x v="1"/>
    <x v="9"/>
    <x v="1"/>
    <x v="7"/>
    <x v="340"/>
    <x v="1"/>
    <x v="14"/>
    <x v="0"/>
    <n v="123300"/>
  </r>
  <r>
    <s v="CSKU17069_3ES"/>
    <x v="2"/>
    <x v="0"/>
    <x v="0"/>
    <x v="2"/>
    <x v="4"/>
    <x v="7"/>
    <x v="342"/>
    <x v="0"/>
    <x v="14"/>
    <x v="0"/>
    <n v="107420"/>
  </r>
  <r>
    <s v="CSKU17070_3ES"/>
    <x v="2"/>
    <x v="0"/>
    <x v="0"/>
    <x v="8"/>
    <x v="4"/>
    <x v="7"/>
    <x v="342"/>
    <x v="0"/>
    <x v="14"/>
    <x v="0"/>
    <n v="110980"/>
  </r>
  <r>
    <s v="CSKU17071_3ES"/>
    <x v="2"/>
    <x v="0"/>
    <x v="0"/>
    <x v="9"/>
    <x v="4"/>
    <x v="7"/>
    <x v="342"/>
    <x v="0"/>
    <x v="14"/>
    <x v="0"/>
    <n v="114520"/>
  </r>
  <r>
    <s v="CSKU16997_3ES"/>
    <x v="2"/>
    <x v="0"/>
    <x v="0"/>
    <x v="2"/>
    <x v="4"/>
    <x v="7"/>
    <x v="186"/>
    <x v="0"/>
    <x v="14"/>
    <x v="0"/>
    <n v="73960"/>
  </r>
  <r>
    <s v="CSKU17072_3ES"/>
    <x v="2"/>
    <x v="0"/>
    <x v="0"/>
    <x v="2"/>
    <x v="1"/>
    <x v="7"/>
    <x v="342"/>
    <x v="0"/>
    <x v="14"/>
    <x v="0"/>
    <n v="126070"/>
  </r>
  <r>
    <s v="CSKU16605_3ES"/>
    <x v="2"/>
    <x v="0"/>
    <x v="0"/>
    <x v="8"/>
    <x v="1"/>
    <x v="7"/>
    <x v="182"/>
    <x v="0"/>
    <x v="14"/>
    <x v="0"/>
    <n v="129630"/>
  </r>
  <r>
    <s v="CSKU16606_3ES"/>
    <x v="2"/>
    <x v="0"/>
    <x v="0"/>
    <x v="9"/>
    <x v="1"/>
    <x v="7"/>
    <x v="182"/>
    <x v="0"/>
    <x v="14"/>
    <x v="0"/>
    <n v="134940"/>
  </r>
  <r>
    <s v="CSKU16607_3ES"/>
    <x v="2"/>
    <x v="0"/>
    <x v="1"/>
    <x v="2"/>
    <x v="4"/>
    <x v="7"/>
    <x v="182"/>
    <x v="1"/>
    <x v="14"/>
    <x v="0"/>
    <n v="112530"/>
  </r>
  <r>
    <s v="CSKU16608_3ES"/>
    <x v="2"/>
    <x v="0"/>
    <x v="1"/>
    <x v="2"/>
    <x v="1"/>
    <x v="7"/>
    <x v="182"/>
    <x v="1"/>
    <x v="14"/>
    <x v="0"/>
    <n v="132250"/>
  </r>
  <r>
    <s v="CSKU16609_3ES"/>
    <x v="2"/>
    <x v="0"/>
    <x v="1"/>
    <x v="8"/>
    <x v="4"/>
    <x v="7"/>
    <x v="182"/>
    <x v="1"/>
    <x v="14"/>
    <x v="0"/>
    <n v="116510"/>
  </r>
  <r>
    <s v="CSKU16610_3ES"/>
    <x v="2"/>
    <x v="0"/>
    <x v="1"/>
    <x v="8"/>
    <x v="1"/>
    <x v="7"/>
    <x v="182"/>
    <x v="1"/>
    <x v="14"/>
    <x v="0"/>
    <n v="136220"/>
  </r>
  <r>
    <s v="CSKU16611_3ES"/>
    <x v="2"/>
    <x v="0"/>
    <x v="1"/>
    <x v="9"/>
    <x v="4"/>
    <x v="7"/>
    <x v="182"/>
    <x v="1"/>
    <x v="14"/>
    <x v="0"/>
    <n v="120480"/>
  </r>
  <r>
    <s v="CSKU16612_3ES"/>
    <x v="2"/>
    <x v="0"/>
    <x v="1"/>
    <x v="9"/>
    <x v="1"/>
    <x v="7"/>
    <x v="182"/>
    <x v="1"/>
    <x v="14"/>
    <x v="0"/>
    <n v="142180"/>
  </r>
  <r>
    <s v="CSKU16565_3ES"/>
    <x v="2"/>
    <x v="0"/>
    <x v="0"/>
    <x v="2"/>
    <x v="4"/>
    <x v="7"/>
    <x v="343"/>
    <x v="0"/>
    <x v="14"/>
    <x v="0"/>
    <n v="74900"/>
  </r>
  <r>
    <s v="CSKU16566_3ES"/>
    <x v="2"/>
    <x v="0"/>
    <x v="0"/>
    <x v="8"/>
    <x v="4"/>
    <x v="7"/>
    <x v="343"/>
    <x v="0"/>
    <x v="14"/>
    <x v="0"/>
    <n v="78460"/>
  </r>
  <r>
    <s v="CSKU16567_3ES"/>
    <x v="2"/>
    <x v="0"/>
    <x v="0"/>
    <x v="9"/>
    <x v="4"/>
    <x v="7"/>
    <x v="343"/>
    <x v="0"/>
    <x v="14"/>
    <x v="0"/>
    <n v="82000"/>
  </r>
  <r>
    <s v="CSKU16568_3ES"/>
    <x v="2"/>
    <x v="0"/>
    <x v="0"/>
    <x v="2"/>
    <x v="1"/>
    <x v="7"/>
    <x v="343"/>
    <x v="0"/>
    <x v="14"/>
    <x v="0"/>
    <n v="87030"/>
  </r>
  <r>
    <s v="CSKU16569_3ES"/>
    <x v="2"/>
    <x v="0"/>
    <x v="0"/>
    <x v="8"/>
    <x v="1"/>
    <x v="7"/>
    <x v="343"/>
    <x v="0"/>
    <x v="14"/>
    <x v="0"/>
    <n v="90590"/>
  </r>
  <r>
    <s v="CSKU16570_3ES"/>
    <x v="2"/>
    <x v="0"/>
    <x v="0"/>
    <x v="9"/>
    <x v="1"/>
    <x v="7"/>
    <x v="343"/>
    <x v="0"/>
    <x v="14"/>
    <x v="0"/>
    <n v="95900"/>
  </r>
  <r>
    <s v="CSKU16571_3ES"/>
    <x v="2"/>
    <x v="0"/>
    <x v="1"/>
    <x v="2"/>
    <x v="4"/>
    <x v="7"/>
    <x v="343"/>
    <x v="1"/>
    <x v="14"/>
    <x v="0"/>
    <n v="81290"/>
  </r>
  <r>
    <s v="CSKU17073_3ES"/>
    <x v="2"/>
    <x v="0"/>
    <x v="0"/>
    <x v="8"/>
    <x v="1"/>
    <x v="7"/>
    <x v="342"/>
    <x v="0"/>
    <x v="14"/>
    <x v="0"/>
    <n v="129630"/>
  </r>
  <r>
    <s v="CSKU17074_3ES"/>
    <x v="2"/>
    <x v="0"/>
    <x v="0"/>
    <x v="9"/>
    <x v="1"/>
    <x v="7"/>
    <x v="342"/>
    <x v="0"/>
    <x v="14"/>
    <x v="0"/>
    <n v="134940"/>
  </r>
  <r>
    <s v="CSKU17075_3ES"/>
    <x v="2"/>
    <x v="0"/>
    <x v="1"/>
    <x v="2"/>
    <x v="4"/>
    <x v="7"/>
    <x v="342"/>
    <x v="1"/>
    <x v="14"/>
    <x v="0"/>
    <n v="112530"/>
  </r>
  <r>
    <s v="CSKU17076_3ES"/>
    <x v="2"/>
    <x v="0"/>
    <x v="1"/>
    <x v="2"/>
    <x v="1"/>
    <x v="7"/>
    <x v="342"/>
    <x v="1"/>
    <x v="14"/>
    <x v="0"/>
    <n v="132250"/>
  </r>
  <r>
    <s v="CSKU17077_3ES"/>
    <x v="2"/>
    <x v="0"/>
    <x v="1"/>
    <x v="8"/>
    <x v="4"/>
    <x v="7"/>
    <x v="342"/>
    <x v="1"/>
    <x v="14"/>
    <x v="0"/>
    <n v="116510"/>
  </r>
  <r>
    <s v="CSKU17078_3ES"/>
    <x v="2"/>
    <x v="0"/>
    <x v="1"/>
    <x v="8"/>
    <x v="1"/>
    <x v="7"/>
    <x v="342"/>
    <x v="1"/>
    <x v="14"/>
    <x v="0"/>
    <n v="136220"/>
  </r>
  <r>
    <s v="CSKU17079_3ES"/>
    <x v="2"/>
    <x v="0"/>
    <x v="1"/>
    <x v="9"/>
    <x v="4"/>
    <x v="7"/>
    <x v="342"/>
    <x v="1"/>
    <x v="14"/>
    <x v="0"/>
    <n v="120480"/>
  </r>
  <r>
    <s v="CSKU17080_3ES"/>
    <x v="2"/>
    <x v="0"/>
    <x v="1"/>
    <x v="9"/>
    <x v="1"/>
    <x v="7"/>
    <x v="342"/>
    <x v="1"/>
    <x v="14"/>
    <x v="0"/>
    <n v="142180"/>
  </r>
  <r>
    <s v="CSKU16709_3ES"/>
    <x v="2"/>
    <x v="0"/>
    <x v="0"/>
    <x v="2"/>
    <x v="4"/>
    <x v="7"/>
    <x v="184"/>
    <x v="0"/>
    <x v="14"/>
    <x v="0"/>
    <n v="91160"/>
  </r>
  <r>
    <s v="CSKU16710_3ES"/>
    <x v="2"/>
    <x v="0"/>
    <x v="0"/>
    <x v="8"/>
    <x v="4"/>
    <x v="7"/>
    <x v="184"/>
    <x v="0"/>
    <x v="14"/>
    <x v="0"/>
    <n v="94720"/>
  </r>
  <r>
    <s v="CSKU16711_3ES"/>
    <x v="2"/>
    <x v="0"/>
    <x v="0"/>
    <x v="9"/>
    <x v="4"/>
    <x v="7"/>
    <x v="184"/>
    <x v="0"/>
    <x v="14"/>
    <x v="0"/>
    <n v="98260"/>
  </r>
  <r>
    <s v="CSKU16712_3ES"/>
    <x v="2"/>
    <x v="0"/>
    <x v="0"/>
    <x v="2"/>
    <x v="1"/>
    <x v="7"/>
    <x v="184"/>
    <x v="0"/>
    <x v="14"/>
    <x v="0"/>
    <n v="106550"/>
  </r>
  <r>
    <s v="CSKU16713_3ES"/>
    <x v="2"/>
    <x v="0"/>
    <x v="0"/>
    <x v="8"/>
    <x v="1"/>
    <x v="7"/>
    <x v="184"/>
    <x v="0"/>
    <x v="14"/>
    <x v="0"/>
    <n v="110110"/>
  </r>
  <r>
    <s v="CSKU16714_3ES"/>
    <x v="2"/>
    <x v="0"/>
    <x v="0"/>
    <x v="9"/>
    <x v="1"/>
    <x v="7"/>
    <x v="184"/>
    <x v="0"/>
    <x v="14"/>
    <x v="0"/>
    <n v="115420"/>
  </r>
  <r>
    <s v="CSKU16715_3ES"/>
    <x v="2"/>
    <x v="0"/>
    <x v="1"/>
    <x v="2"/>
    <x v="4"/>
    <x v="7"/>
    <x v="184"/>
    <x v="1"/>
    <x v="14"/>
    <x v="0"/>
    <n v="96910"/>
  </r>
  <r>
    <s v="CSKU16637_3ES"/>
    <x v="2"/>
    <x v="0"/>
    <x v="0"/>
    <x v="2"/>
    <x v="4"/>
    <x v="7"/>
    <x v="344"/>
    <x v="0"/>
    <x v="14"/>
    <x v="0"/>
    <n v="107420"/>
  </r>
  <r>
    <s v="CSKU16638_3ES"/>
    <x v="2"/>
    <x v="0"/>
    <x v="0"/>
    <x v="8"/>
    <x v="4"/>
    <x v="7"/>
    <x v="344"/>
    <x v="0"/>
    <x v="14"/>
    <x v="0"/>
    <n v="110980"/>
  </r>
  <r>
    <s v="CSKU16639_3ES"/>
    <x v="2"/>
    <x v="0"/>
    <x v="0"/>
    <x v="9"/>
    <x v="4"/>
    <x v="7"/>
    <x v="344"/>
    <x v="0"/>
    <x v="14"/>
    <x v="0"/>
    <n v="114520"/>
  </r>
  <r>
    <s v="CSKU16640_3ES"/>
    <x v="2"/>
    <x v="0"/>
    <x v="0"/>
    <x v="2"/>
    <x v="1"/>
    <x v="7"/>
    <x v="344"/>
    <x v="0"/>
    <x v="14"/>
    <x v="0"/>
    <n v="126070"/>
  </r>
  <r>
    <s v="CSKU16641_3ES"/>
    <x v="2"/>
    <x v="0"/>
    <x v="0"/>
    <x v="8"/>
    <x v="1"/>
    <x v="7"/>
    <x v="344"/>
    <x v="0"/>
    <x v="14"/>
    <x v="0"/>
    <n v="129630"/>
  </r>
  <r>
    <s v="CSKU16642_3ES"/>
    <x v="2"/>
    <x v="0"/>
    <x v="0"/>
    <x v="9"/>
    <x v="1"/>
    <x v="7"/>
    <x v="344"/>
    <x v="0"/>
    <x v="14"/>
    <x v="0"/>
    <n v="134940"/>
  </r>
  <r>
    <s v="CSKU16643_3ES"/>
    <x v="2"/>
    <x v="0"/>
    <x v="1"/>
    <x v="2"/>
    <x v="4"/>
    <x v="7"/>
    <x v="344"/>
    <x v="1"/>
    <x v="14"/>
    <x v="0"/>
    <n v="112530"/>
  </r>
  <r>
    <s v="CSKU16644_3ES"/>
    <x v="2"/>
    <x v="0"/>
    <x v="1"/>
    <x v="2"/>
    <x v="1"/>
    <x v="7"/>
    <x v="344"/>
    <x v="1"/>
    <x v="14"/>
    <x v="0"/>
    <n v="132250"/>
  </r>
  <r>
    <s v="CSKU16645_3ES"/>
    <x v="2"/>
    <x v="0"/>
    <x v="1"/>
    <x v="8"/>
    <x v="4"/>
    <x v="7"/>
    <x v="344"/>
    <x v="1"/>
    <x v="14"/>
    <x v="0"/>
    <n v="116510"/>
  </r>
  <r>
    <s v="CSKU16646_3ES"/>
    <x v="2"/>
    <x v="0"/>
    <x v="1"/>
    <x v="8"/>
    <x v="1"/>
    <x v="7"/>
    <x v="344"/>
    <x v="1"/>
    <x v="14"/>
    <x v="0"/>
    <n v="136220"/>
  </r>
  <r>
    <s v="CSKU16677_3ES"/>
    <x v="2"/>
    <x v="0"/>
    <x v="0"/>
    <x v="8"/>
    <x v="1"/>
    <x v="7"/>
    <x v="183"/>
    <x v="0"/>
    <x v="14"/>
    <x v="0"/>
    <n v="107670"/>
  </r>
  <r>
    <s v="CSKU16678_3ES"/>
    <x v="2"/>
    <x v="0"/>
    <x v="0"/>
    <x v="9"/>
    <x v="1"/>
    <x v="7"/>
    <x v="183"/>
    <x v="0"/>
    <x v="14"/>
    <x v="0"/>
    <n v="112980"/>
  </r>
  <r>
    <s v="CSKU16679_3ES"/>
    <x v="2"/>
    <x v="0"/>
    <x v="1"/>
    <x v="2"/>
    <x v="4"/>
    <x v="7"/>
    <x v="183"/>
    <x v="1"/>
    <x v="14"/>
    <x v="0"/>
    <n v="95330"/>
  </r>
  <r>
    <s v="CSKU16680_3ES"/>
    <x v="2"/>
    <x v="0"/>
    <x v="1"/>
    <x v="2"/>
    <x v="1"/>
    <x v="7"/>
    <x v="183"/>
    <x v="1"/>
    <x v="14"/>
    <x v="0"/>
    <n v="110290"/>
  </r>
  <r>
    <s v="CSKU16681_3ES"/>
    <x v="2"/>
    <x v="0"/>
    <x v="1"/>
    <x v="8"/>
    <x v="4"/>
    <x v="7"/>
    <x v="183"/>
    <x v="1"/>
    <x v="14"/>
    <x v="0"/>
    <n v="99310"/>
  </r>
  <r>
    <s v="CSKU16682_3ES"/>
    <x v="2"/>
    <x v="0"/>
    <x v="1"/>
    <x v="8"/>
    <x v="1"/>
    <x v="7"/>
    <x v="183"/>
    <x v="1"/>
    <x v="14"/>
    <x v="0"/>
    <n v="114260"/>
  </r>
  <r>
    <s v="CSKU16683_3ES"/>
    <x v="2"/>
    <x v="0"/>
    <x v="1"/>
    <x v="9"/>
    <x v="4"/>
    <x v="7"/>
    <x v="183"/>
    <x v="1"/>
    <x v="14"/>
    <x v="0"/>
    <n v="103280"/>
  </r>
  <r>
    <s v="CSKU16684_3ES"/>
    <x v="2"/>
    <x v="0"/>
    <x v="1"/>
    <x v="9"/>
    <x v="1"/>
    <x v="7"/>
    <x v="183"/>
    <x v="1"/>
    <x v="14"/>
    <x v="0"/>
    <n v="120220"/>
  </r>
  <r>
    <s v="CSKU16751_3ES"/>
    <x v="2"/>
    <x v="0"/>
    <x v="1"/>
    <x v="2"/>
    <x v="4"/>
    <x v="7"/>
    <x v="345"/>
    <x v="1"/>
    <x v="14"/>
    <x v="0"/>
    <n v="79710"/>
  </r>
  <r>
    <s v="CSKU16752_3ES"/>
    <x v="2"/>
    <x v="0"/>
    <x v="1"/>
    <x v="2"/>
    <x v="1"/>
    <x v="7"/>
    <x v="345"/>
    <x v="1"/>
    <x v="14"/>
    <x v="0"/>
    <n v="91410"/>
  </r>
  <r>
    <s v="CSKU16753_3ES"/>
    <x v="2"/>
    <x v="0"/>
    <x v="1"/>
    <x v="8"/>
    <x v="4"/>
    <x v="7"/>
    <x v="345"/>
    <x v="1"/>
    <x v="14"/>
    <x v="0"/>
    <n v="83690"/>
  </r>
  <r>
    <s v="CSKU16754_3ES"/>
    <x v="2"/>
    <x v="0"/>
    <x v="1"/>
    <x v="8"/>
    <x v="1"/>
    <x v="7"/>
    <x v="345"/>
    <x v="1"/>
    <x v="14"/>
    <x v="0"/>
    <n v="95380"/>
  </r>
  <r>
    <s v="CSKU16755_3ES"/>
    <x v="2"/>
    <x v="0"/>
    <x v="1"/>
    <x v="9"/>
    <x v="4"/>
    <x v="7"/>
    <x v="345"/>
    <x v="1"/>
    <x v="14"/>
    <x v="0"/>
    <n v="87660"/>
  </r>
  <r>
    <s v="CSKU16756_3ES"/>
    <x v="2"/>
    <x v="0"/>
    <x v="1"/>
    <x v="9"/>
    <x v="1"/>
    <x v="7"/>
    <x v="345"/>
    <x v="1"/>
    <x v="14"/>
    <x v="0"/>
    <n v="101340"/>
  </r>
  <r>
    <s v="CSKU16853_3ES"/>
    <x v="2"/>
    <x v="0"/>
    <x v="0"/>
    <x v="2"/>
    <x v="4"/>
    <x v="7"/>
    <x v="346"/>
    <x v="0"/>
    <x v="14"/>
    <x v="0"/>
    <n v="91160"/>
  </r>
  <r>
    <s v="CSKU16817_3ES"/>
    <x v="2"/>
    <x v="0"/>
    <x v="0"/>
    <x v="8"/>
    <x v="4"/>
    <x v="7"/>
    <x v="347"/>
    <x v="0"/>
    <x v="14"/>
    <x v="0"/>
    <n v="72840"/>
  </r>
  <r>
    <s v="CSKU16818_3ES"/>
    <x v="2"/>
    <x v="0"/>
    <x v="0"/>
    <x v="9"/>
    <x v="4"/>
    <x v="7"/>
    <x v="347"/>
    <x v="0"/>
    <x v="14"/>
    <x v="0"/>
    <n v="76380"/>
  </r>
  <r>
    <s v="CSKU16819_3ES"/>
    <x v="2"/>
    <x v="0"/>
    <x v="0"/>
    <x v="2"/>
    <x v="4"/>
    <x v="7"/>
    <x v="347"/>
    <x v="0"/>
    <x v="14"/>
    <x v="0"/>
    <n v="69280"/>
  </r>
  <r>
    <s v="CSKU16791_3ES"/>
    <x v="2"/>
    <x v="0"/>
    <x v="1"/>
    <x v="8"/>
    <x v="1"/>
    <x v="7"/>
    <x v="348"/>
    <x v="1"/>
    <x v="14"/>
    <x v="0"/>
    <n v="117340"/>
  </r>
  <r>
    <s v="CSKU16792_3ES"/>
    <x v="2"/>
    <x v="0"/>
    <x v="1"/>
    <x v="9"/>
    <x v="1"/>
    <x v="7"/>
    <x v="348"/>
    <x v="1"/>
    <x v="14"/>
    <x v="0"/>
    <n v="123300"/>
  </r>
  <r>
    <s v="CSKU16820_3ES"/>
    <x v="2"/>
    <x v="0"/>
    <x v="0"/>
    <x v="2"/>
    <x v="1"/>
    <x v="7"/>
    <x v="347"/>
    <x v="0"/>
    <x v="14"/>
    <x v="0"/>
    <n v="79350"/>
  </r>
  <r>
    <s v="CSKU16821_3ES"/>
    <x v="2"/>
    <x v="0"/>
    <x v="0"/>
    <x v="8"/>
    <x v="1"/>
    <x v="7"/>
    <x v="347"/>
    <x v="0"/>
    <x v="14"/>
    <x v="0"/>
    <n v="82910"/>
  </r>
  <r>
    <s v="CSKU16822_3ES"/>
    <x v="2"/>
    <x v="0"/>
    <x v="0"/>
    <x v="9"/>
    <x v="1"/>
    <x v="7"/>
    <x v="347"/>
    <x v="0"/>
    <x v="14"/>
    <x v="0"/>
    <n v="88220"/>
  </r>
  <r>
    <s v="CSKU16823_3ES"/>
    <x v="2"/>
    <x v="0"/>
    <x v="1"/>
    <x v="2"/>
    <x v="4"/>
    <x v="7"/>
    <x v="347"/>
    <x v="1"/>
    <x v="14"/>
    <x v="0"/>
    <n v="75030"/>
  </r>
  <r>
    <s v="CSKU16824_3ES"/>
    <x v="2"/>
    <x v="0"/>
    <x v="1"/>
    <x v="8"/>
    <x v="4"/>
    <x v="7"/>
    <x v="347"/>
    <x v="1"/>
    <x v="14"/>
    <x v="0"/>
    <n v="79010"/>
  </r>
  <r>
    <s v="CSKU16825_3ES"/>
    <x v="2"/>
    <x v="0"/>
    <x v="1"/>
    <x v="9"/>
    <x v="4"/>
    <x v="7"/>
    <x v="347"/>
    <x v="1"/>
    <x v="14"/>
    <x v="0"/>
    <n v="82980"/>
  </r>
  <r>
    <s v="CSKU16826_3ES"/>
    <x v="2"/>
    <x v="0"/>
    <x v="1"/>
    <x v="2"/>
    <x v="1"/>
    <x v="7"/>
    <x v="347"/>
    <x v="1"/>
    <x v="14"/>
    <x v="0"/>
    <n v="86170"/>
  </r>
  <r>
    <s v="CSKU16827_3ES"/>
    <x v="2"/>
    <x v="0"/>
    <x v="1"/>
    <x v="8"/>
    <x v="1"/>
    <x v="7"/>
    <x v="347"/>
    <x v="1"/>
    <x v="14"/>
    <x v="0"/>
    <n v="90140"/>
  </r>
  <r>
    <s v="CSKU16828_3ES"/>
    <x v="2"/>
    <x v="0"/>
    <x v="1"/>
    <x v="9"/>
    <x v="1"/>
    <x v="7"/>
    <x v="347"/>
    <x v="1"/>
    <x v="14"/>
    <x v="0"/>
    <n v="96100"/>
  </r>
  <r>
    <s v="CSKU16854_3ES"/>
    <x v="2"/>
    <x v="0"/>
    <x v="0"/>
    <x v="8"/>
    <x v="4"/>
    <x v="7"/>
    <x v="346"/>
    <x v="0"/>
    <x v="14"/>
    <x v="0"/>
    <n v="94720"/>
  </r>
  <r>
    <s v="CSKU16855_3ES"/>
    <x v="2"/>
    <x v="0"/>
    <x v="0"/>
    <x v="9"/>
    <x v="4"/>
    <x v="7"/>
    <x v="346"/>
    <x v="0"/>
    <x v="14"/>
    <x v="0"/>
    <n v="98260"/>
  </r>
  <r>
    <s v="CSKU16856_3ES"/>
    <x v="2"/>
    <x v="0"/>
    <x v="0"/>
    <x v="2"/>
    <x v="1"/>
    <x v="7"/>
    <x v="346"/>
    <x v="0"/>
    <x v="14"/>
    <x v="0"/>
    <n v="106550"/>
  </r>
  <r>
    <s v="CSKU16857_3ES"/>
    <x v="2"/>
    <x v="0"/>
    <x v="0"/>
    <x v="8"/>
    <x v="1"/>
    <x v="7"/>
    <x v="346"/>
    <x v="0"/>
    <x v="14"/>
    <x v="0"/>
    <n v="110110"/>
  </r>
  <r>
    <s v="CSKU16858_3ES"/>
    <x v="2"/>
    <x v="0"/>
    <x v="0"/>
    <x v="9"/>
    <x v="1"/>
    <x v="7"/>
    <x v="346"/>
    <x v="0"/>
    <x v="14"/>
    <x v="0"/>
    <n v="115420"/>
  </r>
  <r>
    <s v="CSKU16859_3ES"/>
    <x v="2"/>
    <x v="0"/>
    <x v="1"/>
    <x v="2"/>
    <x v="4"/>
    <x v="7"/>
    <x v="346"/>
    <x v="1"/>
    <x v="14"/>
    <x v="0"/>
    <n v="96910"/>
  </r>
  <r>
    <s v="CSKU16860_3ES"/>
    <x v="2"/>
    <x v="0"/>
    <x v="1"/>
    <x v="2"/>
    <x v="1"/>
    <x v="7"/>
    <x v="346"/>
    <x v="1"/>
    <x v="14"/>
    <x v="0"/>
    <n v="113370"/>
  </r>
  <r>
    <s v="CSKU16861_3ES"/>
    <x v="2"/>
    <x v="0"/>
    <x v="1"/>
    <x v="8"/>
    <x v="4"/>
    <x v="7"/>
    <x v="346"/>
    <x v="1"/>
    <x v="14"/>
    <x v="0"/>
    <n v="100890"/>
  </r>
  <r>
    <s v="CSKU16862_3ES"/>
    <x v="2"/>
    <x v="0"/>
    <x v="1"/>
    <x v="8"/>
    <x v="1"/>
    <x v="7"/>
    <x v="346"/>
    <x v="1"/>
    <x v="14"/>
    <x v="0"/>
    <n v="117340"/>
  </r>
  <r>
    <s v="CSKU16863_3ES"/>
    <x v="2"/>
    <x v="0"/>
    <x v="1"/>
    <x v="9"/>
    <x v="4"/>
    <x v="7"/>
    <x v="346"/>
    <x v="1"/>
    <x v="14"/>
    <x v="0"/>
    <n v="104860"/>
  </r>
  <r>
    <s v="CSKU16864_3ES"/>
    <x v="2"/>
    <x v="0"/>
    <x v="1"/>
    <x v="9"/>
    <x v="1"/>
    <x v="7"/>
    <x v="346"/>
    <x v="1"/>
    <x v="14"/>
    <x v="0"/>
    <n v="123300"/>
  </r>
  <r>
    <s v="CSKU16572_3ES"/>
    <x v="2"/>
    <x v="0"/>
    <x v="1"/>
    <x v="2"/>
    <x v="1"/>
    <x v="7"/>
    <x v="343"/>
    <x v="1"/>
    <x v="14"/>
    <x v="0"/>
    <n v="94490"/>
  </r>
  <r>
    <s v="CSKU16647_3ES"/>
    <x v="2"/>
    <x v="0"/>
    <x v="1"/>
    <x v="9"/>
    <x v="4"/>
    <x v="7"/>
    <x v="344"/>
    <x v="1"/>
    <x v="14"/>
    <x v="0"/>
    <n v="120480"/>
  </r>
  <r>
    <s v="CSKU16421_3ES"/>
    <x v="2"/>
    <x v="0"/>
    <x v="0"/>
    <x v="2"/>
    <x v="4"/>
    <x v="7"/>
    <x v="349"/>
    <x v="0"/>
    <x v="14"/>
    <x v="0"/>
    <n v="96480"/>
  </r>
  <r>
    <s v="CSKU16457_3ES"/>
    <x v="2"/>
    <x v="0"/>
    <x v="0"/>
    <x v="2"/>
    <x v="4"/>
    <x v="7"/>
    <x v="350"/>
    <x v="0"/>
    <x v="14"/>
    <x v="0"/>
    <n v="96480"/>
  </r>
  <r>
    <s v="CSKU16458_3ES"/>
    <x v="2"/>
    <x v="0"/>
    <x v="0"/>
    <x v="8"/>
    <x v="4"/>
    <x v="7"/>
    <x v="350"/>
    <x v="0"/>
    <x v="14"/>
    <x v="0"/>
    <n v="100040"/>
  </r>
  <r>
    <s v="CSKU16459_3ES"/>
    <x v="2"/>
    <x v="0"/>
    <x v="0"/>
    <x v="9"/>
    <x v="4"/>
    <x v="7"/>
    <x v="350"/>
    <x v="0"/>
    <x v="14"/>
    <x v="0"/>
    <n v="103580"/>
  </r>
  <r>
    <s v="CSKU16460_3ES"/>
    <x v="2"/>
    <x v="0"/>
    <x v="0"/>
    <x v="2"/>
    <x v="1"/>
    <x v="7"/>
    <x v="350"/>
    <x v="0"/>
    <x v="14"/>
    <x v="0"/>
    <n v="112470"/>
  </r>
  <r>
    <s v="CSKU16461_3ES"/>
    <x v="2"/>
    <x v="0"/>
    <x v="0"/>
    <x v="8"/>
    <x v="1"/>
    <x v="7"/>
    <x v="350"/>
    <x v="0"/>
    <x v="14"/>
    <x v="0"/>
    <n v="116030"/>
  </r>
  <r>
    <s v="CSKU16529_3ES"/>
    <x v="2"/>
    <x v="0"/>
    <x v="0"/>
    <x v="2"/>
    <x v="4"/>
    <x v="7"/>
    <x v="351"/>
    <x v="0"/>
    <x v="14"/>
    <x v="0"/>
    <n v="90220"/>
  </r>
  <r>
    <s v="CSKU16530_3ES"/>
    <x v="2"/>
    <x v="0"/>
    <x v="0"/>
    <x v="8"/>
    <x v="4"/>
    <x v="7"/>
    <x v="351"/>
    <x v="0"/>
    <x v="14"/>
    <x v="0"/>
    <n v="93780"/>
  </r>
  <r>
    <s v="CSKU16531_3ES"/>
    <x v="2"/>
    <x v="0"/>
    <x v="0"/>
    <x v="9"/>
    <x v="4"/>
    <x v="7"/>
    <x v="351"/>
    <x v="0"/>
    <x v="14"/>
    <x v="0"/>
    <n v="97320"/>
  </r>
  <r>
    <s v="CSKU16573_3ES"/>
    <x v="2"/>
    <x v="0"/>
    <x v="1"/>
    <x v="8"/>
    <x v="4"/>
    <x v="7"/>
    <x v="343"/>
    <x v="1"/>
    <x v="14"/>
    <x v="0"/>
    <n v="85270"/>
  </r>
  <r>
    <s v="CSKU16574_3ES"/>
    <x v="2"/>
    <x v="0"/>
    <x v="1"/>
    <x v="8"/>
    <x v="1"/>
    <x v="7"/>
    <x v="343"/>
    <x v="1"/>
    <x v="14"/>
    <x v="0"/>
    <n v="98460"/>
  </r>
  <r>
    <s v="CSKU16575_3ES"/>
    <x v="2"/>
    <x v="0"/>
    <x v="1"/>
    <x v="9"/>
    <x v="4"/>
    <x v="7"/>
    <x v="343"/>
    <x v="1"/>
    <x v="14"/>
    <x v="0"/>
    <n v="89240"/>
  </r>
  <r>
    <s v="CSKU16576_3ES"/>
    <x v="2"/>
    <x v="0"/>
    <x v="1"/>
    <x v="9"/>
    <x v="1"/>
    <x v="7"/>
    <x v="343"/>
    <x v="1"/>
    <x v="14"/>
    <x v="0"/>
    <n v="104420"/>
  </r>
  <r>
    <s v="CSKU16601_3ES"/>
    <x v="2"/>
    <x v="0"/>
    <x v="0"/>
    <x v="2"/>
    <x v="4"/>
    <x v="7"/>
    <x v="182"/>
    <x v="0"/>
    <x v="14"/>
    <x v="0"/>
    <n v="107420"/>
  </r>
  <r>
    <s v="CSKU16602_3ES"/>
    <x v="2"/>
    <x v="0"/>
    <x v="0"/>
    <x v="8"/>
    <x v="4"/>
    <x v="7"/>
    <x v="182"/>
    <x v="0"/>
    <x v="14"/>
    <x v="0"/>
    <n v="110980"/>
  </r>
  <r>
    <s v="CSKU16603_3ES"/>
    <x v="2"/>
    <x v="0"/>
    <x v="0"/>
    <x v="9"/>
    <x v="4"/>
    <x v="7"/>
    <x v="182"/>
    <x v="0"/>
    <x v="14"/>
    <x v="0"/>
    <n v="114520"/>
  </r>
  <r>
    <s v="CSKU16648_3ES"/>
    <x v="2"/>
    <x v="0"/>
    <x v="1"/>
    <x v="9"/>
    <x v="1"/>
    <x v="7"/>
    <x v="344"/>
    <x v="1"/>
    <x v="14"/>
    <x v="0"/>
    <n v="142180"/>
  </r>
  <r>
    <s v="CSKU16745_3ES"/>
    <x v="2"/>
    <x v="0"/>
    <x v="0"/>
    <x v="2"/>
    <x v="4"/>
    <x v="7"/>
    <x v="345"/>
    <x v="0"/>
    <x v="14"/>
    <x v="0"/>
    <n v="73960"/>
  </r>
  <r>
    <s v="CSKU16746_3ES"/>
    <x v="2"/>
    <x v="0"/>
    <x v="0"/>
    <x v="8"/>
    <x v="4"/>
    <x v="7"/>
    <x v="345"/>
    <x v="0"/>
    <x v="14"/>
    <x v="0"/>
    <n v="77520"/>
  </r>
  <r>
    <s v="CSKU16747_3ES"/>
    <x v="2"/>
    <x v="0"/>
    <x v="0"/>
    <x v="9"/>
    <x v="4"/>
    <x v="7"/>
    <x v="345"/>
    <x v="0"/>
    <x v="14"/>
    <x v="0"/>
    <n v="81060"/>
  </r>
  <r>
    <s v="CSKU16748_3ES"/>
    <x v="2"/>
    <x v="0"/>
    <x v="0"/>
    <x v="2"/>
    <x v="1"/>
    <x v="7"/>
    <x v="345"/>
    <x v="0"/>
    <x v="14"/>
    <x v="0"/>
    <n v="84590"/>
  </r>
  <r>
    <s v="CSKU16781_3ES"/>
    <x v="2"/>
    <x v="0"/>
    <x v="0"/>
    <x v="8"/>
    <x v="4"/>
    <x v="7"/>
    <x v="348"/>
    <x v="0"/>
    <x v="14"/>
    <x v="0"/>
    <n v="94720"/>
  </r>
  <r>
    <s v="CSKU16782_3ES"/>
    <x v="2"/>
    <x v="0"/>
    <x v="0"/>
    <x v="9"/>
    <x v="4"/>
    <x v="7"/>
    <x v="348"/>
    <x v="0"/>
    <x v="14"/>
    <x v="0"/>
    <n v="98260"/>
  </r>
  <r>
    <s v="CSKU16783_3ES"/>
    <x v="2"/>
    <x v="0"/>
    <x v="0"/>
    <x v="2"/>
    <x v="4"/>
    <x v="7"/>
    <x v="348"/>
    <x v="0"/>
    <x v="14"/>
    <x v="0"/>
    <n v="91160"/>
  </r>
  <r>
    <s v="CSKU16784_3ES"/>
    <x v="2"/>
    <x v="0"/>
    <x v="0"/>
    <x v="2"/>
    <x v="1"/>
    <x v="7"/>
    <x v="348"/>
    <x v="0"/>
    <x v="14"/>
    <x v="0"/>
    <n v="106550"/>
  </r>
  <r>
    <s v="CSKU16785_3ES"/>
    <x v="2"/>
    <x v="0"/>
    <x v="0"/>
    <x v="8"/>
    <x v="1"/>
    <x v="7"/>
    <x v="348"/>
    <x v="0"/>
    <x v="14"/>
    <x v="0"/>
    <n v="110110"/>
  </r>
  <r>
    <s v="CSKU16786_3ES"/>
    <x v="2"/>
    <x v="0"/>
    <x v="0"/>
    <x v="9"/>
    <x v="1"/>
    <x v="7"/>
    <x v="348"/>
    <x v="0"/>
    <x v="14"/>
    <x v="0"/>
    <n v="115420"/>
  </r>
  <r>
    <s v="CSKU16787_3ES"/>
    <x v="2"/>
    <x v="0"/>
    <x v="1"/>
    <x v="2"/>
    <x v="4"/>
    <x v="7"/>
    <x v="348"/>
    <x v="1"/>
    <x v="14"/>
    <x v="0"/>
    <n v="96910"/>
  </r>
  <r>
    <s v="CSKU16788_3ES"/>
    <x v="2"/>
    <x v="0"/>
    <x v="1"/>
    <x v="8"/>
    <x v="4"/>
    <x v="7"/>
    <x v="348"/>
    <x v="1"/>
    <x v="14"/>
    <x v="0"/>
    <n v="100890"/>
  </r>
  <r>
    <s v="CSKU16789_3ES"/>
    <x v="2"/>
    <x v="0"/>
    <x v="1"/>
    <x v="9"/>
    <x v="4"/>
    <x v="7"/>
    <x v="348"/>
    <x v="1"/>
    <x v="14"/>
    <x v="0"/>
    <n v="104860"/>
  </r>
  <r>
    <s v="CSKU16790_3ES"/>
    <x v="2"/>
    <x v="0"/>
    <x v="1"/>
    <x v="2"/>
    <x v="1"/>
    <x v="7"/>
    <x v="348"/>
    <x v="1"/>
    <x v="14"/>
    <x v="0"/>
    <n v="113370"/>
  </r>
  <r>
    <s v="CSKU16673_3ES"/>
    <x v="2"/>
    <x v="0"/>
    <x v="0"/>
    <x v="2"/>
    <x v="4"/>
    <x v="7"/>
    <x v="183"/>
    <x v="0"/>
    <x v="14"/>
    <x v="0"/>
    <n v="90220"/>
  </r>
  <r>
    <s v="CSKU16674_3ES"/>
    <x v="2"/>
    <x v="0"/>
    <x v="0"/>
    <x v="8"/>
    <x v="4"/>
    <x v="7"/>
    <x v="183"/>
    <x v="0"/>
    <x v="14"/>
    <x v="0"/>
    <n v="93780"/>
  </r>
  <r>
    <s v="CSKU16675_3ES"/>
    <x v="2"/>
    <x v="0"/>
    <x v="0"/>
    <x v="9"/>
    <x v="4"/>
    <x v="7"/>
    <x v="183"/>
    <x v="0"/>
    <x v="14"/>
    <x v="0"/>
    <n v="97320"/>
  </r>
  <r>
    <s v="CSKU16749_3ES"/>
    <x v="2"/>
    <x v="0"/>
    <x v="0"/>
    <x v="8"/>
    <x v="1"/>
    <x v="7"/>
    <x v="345"/>
    <x v="0"/>
    <x v="14"/>
    <x v="0"/>
    <n v="88150"/>
  </r>
  <r>
    <s v="CSKU16750_3ES"/>
    <x v="2"/>
    <x v="0"/>
    <x v="0"/>
    <x v="9"/>
    <x v="1"/>
    <x v="7"/>
    <x v="345"/>
    <x v="0"/>
    <x v="14"/>
    <x v="0"/>
    <n v="93460"/>
  </r>
  <r>
    <s v="CSKU16422_3ES"/>
    <x v="2"/>
    <x v="0"/>
    <x v="0"/>
    <x v="8"/>
    <x v="4"/>
    <x v="7"/>
    <x v="349"/>
    <x v="0"/>
    <x v="14"/>
    <x v="0"/>
    <n v="100040"/>
  </r>
  <r>
    <s v="CSKU16462_3ES"/>
    <x v="2"/>
    <x v="0"/>
    <x v="0"/>
    <x v="9"/>
    <x v="1"/>
    <x v="7"/>
    <x v="350"/>
    <x v="0"/>
    <x v="14"/>
    <x v="0"/>
    <n v="121340"/>
  </r>
  <r>
    <s v="CSKU16241_3ES"/>
    <x v="2"/>
    <x v="0"/>
    <x v="0"/>
    <x v="2"/>
    <x v="4"/>
    <x v="7"/>
    <x v="352"/>
    <x v="0"/>
    <x v="14"/>
    <x v="0"/>
    <n v="96480"/>
  </r>
  <r>
    <s v="CSKU16283_3ES"/>
    <x v="2"/>
    <x v="0"/>
    <x v="1"/>
    <x v="2"/>
    <x v="4"/>
    <x v="7"/>
    <x v="181"/>
    <x v="1"/>
    <x v="14"/>
    <x v="0"/>
    <n v="84390"/>
  </r>
  <r>
    <s v="CSKU16284_3ES"/>
    <x v="2"/>
    <x v="0"/>
    <x v="1"/>
    <x v="2"/>
    <x v="1"/>
    <x v="7"/>
    <x v="181"/>
    <x v="1"/>
    <x v="14"/>
    <x v="0"/>
    <n v="96690"/>
  </r>
  <r>
    <s v="CSKU16285_3ES"/>
    <x v="2"/>
    <x v="0"/>
    <x v="1"/>
    <x v="8"/>
    <x v="4"/>
    <x v="7"/>
    <x v="181"/>
    <x v="1"/>
    <x v="14"/>
    <x v="0"/>
    <n v="88370"/>
  </r>
  <r>
    <s v="CSKU16286_3ES"/>
    <x v="2"/>
    <x v="0"/>
    <x v="1"/>
    <x v="8"/>
    <x v="1"/>
    <x v="7"/>
    <x v="181"/>
    <x v="1"/>
    <x v="14"/>
    <x v="0"/>
    <n v="100660"/>
  </r>
  <r>
    <s v="CSKU16287_3ES"/>
    <x v="2"/>
    <x v="0"/>
    <x v="1"/>
    <x v="9"/>
    <x v="4"/>
    <x v="7"/>
    <x v="181"/>
    <x v="1"/>
    <x v="14"/>
    <x v="0"/>
    <n v="92340"/>
  </r>
  <r>
    <s v="CSKU16288_3ES"/>
    <x v="2"/>
    <x v="0"/>
    <x v="1"/>
    <x v="9"/>
    <x v="1"/>
    <x v="7"/>
    <x v="181"/>
    <x v="1"/>
    <x v="14"/>
    <x v="0"/>
    <n v="106620"/>
  </r>
  <r>
    <s v="CSKU16423_3ES"/>
    <x v="2"/>
    <x v="0"/>
    <x v="0"/>
    <x v="9"/>
    <x v="4"/>
    <x v="7"/>
    <x v="349"/>
    <x v="0"/>
    <x v="14"/>
    <x v="0"/>
    <n v="103580"/>
  </r>
  <r>
    <s v="CSKU16424_3ES"/>
    <x v="2"/>
    <x v="0"/>
    <x v="0"/>
    <x v="2"/>
    <x v="1"/>
    <x v="7"/>
    <x v="349"/>
    <x v="0"/>
    <x v="14"/>
    <x v="0"/>
    <n v="112470"/>
  </r>
  <r>
    <s v="CSKU16425_3ES"/>
    <x v="2"/>
    <x v="0"/>
    <x v="0"/>
    <x v="8"/>
    <x v="1"/>
    <x v="7"/>
    <x v="349"/>
    <x v="0"/>
    <x v="14"/>
    <x v="0"/>
    <n v="116030"/>
  </r>
  <r>
    <s v="CSKU16426_3ES"/>
    <x v="2"/>
    <x v="0"/>
    <x v="0"/>
    <x v="9"/>
    <x v="1"/>
    <x v="7"/>
    <x v="349"/>
    <x v="0"/>
    <x v="14"/>
    <x v="0"/>
    <n v="121340"/>
  </r>
  <r>
    <s v="CSKU16427_3ES"/>
    <x v="2"/>
    <x v="0"/>
    <x v="1"/>
    <x v="2"/>
    <x v="4"/>
    <x v="7"/>
    <x v="349"/>
    <x v="1"/>
    <x v="14"/>
    <x v="0"/>
    <n v="101590"/>
  </r>
  <r>
    <s v="CSKU16428_3ES"/>
    <x v="2"/>
    <x v="0"/>
    <x v="1"/>
    <x v="2"/>
    <x v="1"/>
    <x v="7"/>
    <x v="349"/>
    <x v="1"/>
    <x v="14"/>
    <x v="0"/>
    <n v="118650"/>
  </r>
  <r>
    <s v="CSKU16429_3ES"/>
    <x v="2"/>
    <x v="0"/>
    <x v="1"/>
    <x v="8"/>
    <x v="4"/>
    <x v="7"/>
    <x v="349"/>
    <x v="1"/>
    <x v="14"/>
    <x v="0"/>
    <n v="105570"/>
  </r>
  <r>
    <s v="CSKU16430_3ES"/>
    <x v="2"/>
    <x v="0"/>
    <x v="1"/>
    <x v="8"/>
    <x v="1"/>
    <x v="7"/>
    <x v="349"/>
    <x v="1"/>
    <x v="14"/>
    <x v="0"/>
    <n v="122620"/>
  </r>
  <r>
    <s v="CSKU16431_3ES"/>
    <x v="2"/>
    <x v="0"/>
    <x v="1"/>
    <x v="9"/>
    <x v="4"/>
    <x v="7"/>
    <x v="349"/>
    <x v="1"/>
    <x v="14"/>
    <x v="0"/>
    <n v="109540"/>
  </r>
  <r>
    <s v="CSKU16432_3ES"/>
    <x v="2"/>
    <x v="0"/>
    <x v="1"/>
    <x v="9"/>
    <x v="1"/>
    <x v="7"/>
    <x v="349"/>
    <x v="1"/>
    <x v="14"/>
    <x v="0"/>
    <n v="128580"/>
  </r>
  <r>
    <s v="CSKU16532_3ES"/>
    <x v="2"/>
    <x v="0"/>
    <x v="0"/>
    <x v="2"/>
    <x v="1"/>
    <x v="7"/>
    <x v="351"/>
    <x v="0"/>
    <x v="14"/>
    <x v="0"/>
    <n v="104110"/>
  </r>
  <r>
    <s v="CSKU16463_3ES"/>
    <x v="2"/>
    <x v="0"/>
    <x v="1"/>
    <x v="2"/>
    <x v="4"/>
    <x v="7"/>
    <x v="350"/>
    <x v="1"/>
    <x v="14"/>
    <x v="0"/>
    <n v="101590"/>
  </r>
  <r>
    <s v="CSKU16464_3ES"/>
    <x v="2"/>
    <x v="0"/>
    <x v="1"/>
    <x v="2"/>
    <x v="1"/>
    <x v="7"/>
    <x v="350"/>
    <x v="1"/>
    <x v="14"/>
    <x v="0"/>
    <n v="118650"/>
  </r>
  <r>
    <s v="CSKU16465_3ES"/>
    <x v="2"/>
    <x v="0"/>
    <x v="1"/>
    <x v="8"/>
    <x v="4"/>
    <x v="7"/>
    <x v="350"/>
    <x v="1"/>
    <x v="14"/>
    <x v="0"/>
    <n v="105570"/>
  </r>
  <r>
    <s v="CSKU16466_3ES"/>
    <x v="2"/>
    <x v="0"/>
    <x v="1"/>
    <x v="8"/>
    <x v="1"/>
    <x v="7"/>
    <x v="350"/>
    <x v="1"/>
    <x v="14"/>
    <x v="0"/>
    <n v="122620"/>
  </r>
  <r>
    <s v="CSKU16467_3ES"/>
    <x v="2"/>
    <x v="0"/>
    <x v="1"/>
    <x v="9"/>
    <x v="4"/>
    <x v="7"/>
    <x v="350"/>
    <x v="1"/>
    <x v="14"/>
    <x v="0"/>
    <n v="109540"/>
  </r>
  <r>
    <s v="CSKU16468_3ES"/>
    <x v="2"/>
    <x v="0"/>
    <x v="1"/>
    <x v="9"/>
    <x v="1"/>
    <x v="7"/>
    <x v="350"/>
    <x v="1"/>
    <x v="14"/>
    <x v="0"/>
    <n v="128580"/>
  </r>
  <r>
    <s v="CSKU16493_3ES"/>
    <x v="2"/>
    <x v="0"/>
    <x v="0"/>
    <x v="2"/>
    <x v="4"/>
    <x v="7"/>
    <x v="353"/>
    <x v="0"/>
    <x v="14"/>
    <x v="0"/>
    <n v="79280"/>
  </r>
  <r>
    <s v="CSKU16494_3ES"/>
    <x v="2"/>
    <x v="0"/>
    <x v="0"/>
    <x v="8"/>
    <x v="4"/>
    <x v="7"/>
    <x v="353"/>
    <x v="0"/>
    <x v="14"/>
    <x v="0"/>
    <n v="82840"/>
  </r>
  <r>
    <s v="CSKU16495_3ES"/>
    <x v="2"/>
    <x v="0"/>
    <x v="0"/>
    <x v="9"/>
    <x v="4"/>
    <x v="7"/>
    <x v="353"/>
    <x v="0"/>
    <x v="14"/>
    <x v="0"/>
    <n v="86380"/>
  </r>
  <r>
    <s v="CSKU16496_3ES"/>
    <x v="2"/>
    <x v="0"/>
    <x v="0"/>
    <x v="2"/>
    <x v="1"/>
    <x v="7"/>
    <x v="353"/>
    <x v="0"/>
    <x v="14"/>
    <x v="0"/>
    <n v="90510"/>
  </r>
  <r>
    <s v="CSKU16497_3ES"/>
    <x v="2"/>
    <x v="0"/>
    <x v="0"/>
    <x v="8"/>
    <x v="1"/>
    <x v="7"/>
    <x v="353"/>
    <x v="0"/>
    <x v="14"/>
    <x v="0"/>
    <n v="94070"/>
  </r>
  <r>
    <s v="CSKU16498_3ES"/>
    <x v="2"/>
    <x v="0"/>
    <x v="0"/>
    <x v="9"/>
    <x v="1"/>
    <x v="7"/>
    <x v="353"/>
    <x v="0"/>
    <x v="14"/>
    <x v="0"/>
    <n v="99380"/>
  </r>
  <r>
    <s v="CSKU16499_3ES"/>
    <x v="2"/>
    <x v="0"/>
    <x v="1"/>
    <x v="2"/>
    <x v="4"/>
    <x v="7"/>
    <x v="353"/>
    <x v="1"/>
    <x v="14"/>
    <x v="0"/>
    <n v="84390"/>
  </r>
  <r>
    <s v="CSKU16500_3ES"/>
    <x v="2"/>
    <x v="0"/>
    <x v="1"/>
    <x v="2"/>
    <x v="1"/>
    <x v="7"/>
    <x v="353"/>
    <x v="1"/>
    <x v="14"/>
    <x v="0"/>
    <n v="96690"/>
  </r>
  <r>
    <s v="CSKU16501_3ES"/>
    <x v="2"/>
    <x v="0"/>
    <x v="1"/>
    <x v="8"/>
    <x v="4"/>
    <x v="7"/>
    <x v="353"/>
    <x v="1"/>
    <x v="14"/>
    <x v="0"/>
    <n v="88370"/>
  </r>
  <r>
    <s v="CSKU16502_3ES"/>
    <x v="2"/>
    <x v="0"/>
    <x v="1"/>
    <x v="8"/>
    <x v="1"/>
    <x v="7"/>
    <x v="353"/>
    <x v="1"/>
    <x v="14"/>
    <x v="0"/>
    <n v="100660"/>
  </r>
  <r>
    <s v="CSKU16503_3ES"/>
    <x v="2"/>
    <x v="0"/>
    <x v="1"/>
    <x v="9"/>
    <x v="4"/>
    <x v="7"/>
    <x v="353"/>
    <x v="1"/>
    <x v="14"/>
    <x v="0"/>
    <n v="92340"/>
  </r>
  <r>
    <s v="CSKU16504_3ES"/>
    <x v="2"/>
    <x v="0"/>
    <x v="1"/>
    <x v="9"/>
    <x v="1"/>
    <x v="7"/>
    <x v="353"/>
    <x v="1"/>
    <x v="14"/>
    <x v="0"/>
    <n v="106620"/>
  </r>
  <r>
    <s v="CSKU16533_3ES"/>
    <x v="2"/>
    <x v="0"/>
    <x v="0"/>
    <x v="8"/>
    <x v="1"/>
    <x v="7"/>
    <x v="351"/>
    <x v="0"/>
    <x v="14"/>
    <x v="0"/>
    <n v="107670"/>
  </r>
  <r>
    <s v="CSKU16534_3ES"/>
    <x v="2"/>
    <x v="0"/>
    <x v="0"/>
    <x v="9"/>
    <x v="1"/>
    <x v="7"/>
    <x v="351"/>
    <x v="0"/>
    <x v="14"/>
    <x v="0"/>
    <n v="112980"/>
  </r>
  <r>
    <s v="CSKU16535_3ES"/>
    <x v="2"/>
    <x v="0"/>
    <x v="1"/>
    <x v="2"/>
    <x v="4"/>
    <x v="7"/>
    <x v="351"/>
    <x v="1"/>
    <x v="14"/>
    <x v="0"/>
    <n v="95330"/>
  </r>
  <r>
    <s v="CSKU16536_3ES"/>
    <x v="2"/>
    <x v="0"/>
    <x v="1"/>
    <x v="2"/>
    <x v="1"/>
    <x v="7"/>
    <x v="351"/>
    <x v="1"/>
    <x v="14"/>
    <x v="0"/>
    <n v="110290"/>
  </r>
  <r>
    <s v="CSKU16537_3ES"/>
    <x v="2"/>
    <x v="0"/>
    <x v="1"/>
    <x v="8"/>
    <x v="4"/>
    <x v="7"/>
    <x v="351"/>
    <x v="1"/>
    <x v="14"/>
    <x v="0"/>
    <n v="99310"/>
  </r>
  <r>
    <s v="CSKU16538_3ES"/>
    <x v="2"/>
    <x v="0"/>
    <x v="1"/>
    <x v="8"/>
    <x v="1"/>
    <x v="7"/>
    <x v="351"/>
    <x v="1"/>
    <x v="14"/>
    <x v="0"/>
    <n v="114260"/>
  </r>
  <r>
    <s v="CSKU16539_3ES"/>
    <x v="2"/>
    <x v="0"/>
    <x v="1"/>
    <x v="9"/>
    <x v="4"/>
    <x v="7"/>
    <x v="351"/>
    <x v="1"/>
    <x v="14"/>
    <x v="0"/>
    <n v="103280"/>
  </r>
  <r>
    <s v="CSKU16540_3ES"/>
    <x v="2"/>
    <x v="0"/>
    <x v="1"/>
    <x v="9"/>
    <x v="1"/>
    <x v="7"/>
    <x v="351"/>
    <x v="1"/>
    <x v="14"/>
    <x v="0"/>
    <n v="120220"/>
  </r>
  <r>
    <s v="CSKU16097_3ES"/>
    <x v="2"/>
    <x v="0"/>
    <x v="0"/>
    <x v="2"/>
    <x v="4"/>
    <x v="7"/>
    <x v="354"/>
    <x v="0"/>
    <x v="14"/>
    <x v="0"/>
    <n v="74900"/>
  </r>
  <r>
    <s v="CSKU16133_3ES"/>
    <x v="2"/>
    <x v="0"/>
    <x v="0"/>
    <x v="2"/>
    <x v="4"/>
    <x v="7"/>
    <x v="355"/>
    <x v="0"/>
    <x v="14"/>
    <x v="0"/>
    <n v="107420"/>
  </r>
  <r>
    <s v="CSKU16134_3ES"/>
    <x v="2"/>
    <x v="0"/>
    <x v="0"/>
    <x v="8"/>
    <x v="4"/>
    <x v="7"/>
    <x v="355"/>
    <x v="0"/>
    <x v="14"/>
    <x v="0"/>
    <n v="110980"/>
  </r>
  <r>
    <s v="CSKU16135_3ES"/>
    <x v="2"/>
    <x v="0"/>
    <x v="0"/>
    <x v="9"/>
    <x v="4"/>
    <x v="7"/>
    <x v="355"/>
    <x v="0"/>
    <x v="14"/>
    <x v="0"/>
    <n v="114520"/>
  </r>
  <r>
    <s v="CSKU16136_3ES"/>
    <x v="2"/>
    <x v="0"/>
    <x v="0"/>
    <x v="2"/>
    <x v="1"/>
    <x v="7"/>
    <x v="355"/>
    <x v="0"/>
    <x v="14"/>
    <x v="0"/>
    <n v="126070"/>
  </r>
  <r>
    <s v="CSKU16137_3ES"/>
    <x v="2"/>
    <x v="0"/>
    <x v="0"/>
    <x v="8"/>
    <x v="1"/>
    <x v="7"/>
    <x v="355"/>
    <x v="0"/>
    <x v="14"/>
    <x v="0"/>
    <n v="129630"/>
  </r>
  <r>
    <s v="CSKU16138_3ES"/>
    <x v="2"/>
    <x v="0"/>
    <x v="0"/>
    <x v="9"/>
    <x v="1"/>
    <x v="7"/>
    <x v="355"/>
    <x v="0"/>
    <x v="14"/>
    <x v="0"/>
    <n v="134940"/>
  </r>
  <r>
    <s v="CSKU16242_3ES"/>
    <x v="2"/>
    <x v="0"/>
    <x v="0"/>
    <x v="8"/>
    <x v="4"/>
    <x v="7"/>
    <x v="352"/>
    <x v="0"/>
    <x v="14"/>
    <x v="0"/>
    <n v="100040"/>
  </r>
  <r>
    <s v="CSKU16243_3ES"/>
    <x v="2"/>
    <x v="0"/>
    <x v="0"/>
    <x v="9"/>
    <x v="4"/>
    <x v="7"/>
    <x v="352"/>
    <x v="0"/>
    <x v="14"/>
    <x v="0"/>
    <n v="103580"/>
  </r>
  <r>
    <s v="CSKU16244_3ES"/>
    <x v="2"/>
    <x v="0"/>
    <x v="0"/>
    <x v="2"/>
    <x v="1"/>
    <x v="7"/>
    <x v="352"/>
    <x v="0"/>
    <x v="14"/>
    <x v="0"/>
    <n v="112470"/>
  </r>
  <r>
    <s v="CSKU16245_3ES"/>
    <x v="2"/>
    <x v="0"/>
    <x v="0"/>
    <x v="8"/>
    <x v="1"/>
    <x v="7"/>
    <x v="352"/>
    <x v="0"/>
    <x v="14"/>
    <x v="0"/>
    <n v="116030"/>
  </r>
  <r>
    <s v="CSKU16246_3ES"/>
    <x v="2"/>
    <x v="0"/>
    <x v="0"/>
    <x v="9"/>
    <x v="1"/>
    <x v="7"/>
    <x v="352"/>
    <x v="0"/>
    <x v="14"/>
    <x v="0"/>
    <n v="121340"/>
  </r>
  <r>
    <s v="CSKU16247_3ES"/>
    <x v="2"/>
    <x v="0"/>
    <x v="1"/>
    <x v="2"/>
    <x v="4"/>
    <x v="7"/>
    <x v="352"/>
    <x v="1"/>
    <x v="14"/>
    <x v="0"/>
    <n v="101590"/>
  </r>
  <r>
    <s v="CSKU16248_3ES"/>
    <x v="2"/>
    <x v="0"/>
    <x v="1"/>
    <x v="2"/>
    <x v="1"/>
    <x v="7"/>
    <x v="352"/>
    <x v="1"/>
    <x v="14"/>
    <x v="0"/>
    <n v="118650"/>
  </r>
  <r>
    <s v="CSKU16249_3ES"/>
    <x v="2"/>
    <x v="0"/>
    <x v="1"/>
    <x v="8"/>
    <x v="4"/>
    <x v="7"/>
    <x v="352"/>
    <x v="1"/>
    <x v="14"/>
    <x v="0"/>
    <n v="105570"/>
  </r>
  <r>
    <s v="CSKU16250_3ES"/>
    <x v="2"/>
    <x v="0"/>
    <x v="1"/>
    <x v="8"/>
    <x v="1"/>
    <x v="7"/>
    <x v="352"/>
    <x v="1"/>
    <x v="14"/>
    <x v="0"/>
    <n v="122620"/>
  </r>
  <r>
    <s v="CSKU16251_3ES"/>
    <x v="2"/>
    <x v="0"/>
    <x v="1"/>
    <x v="9"/>
    <x v="4"/>
    <x v="7"/>
    <x v="352"/>
    <x v="1"/>
    <x v="14"/>
    <x v="0"/>
    <n v="109540"/>
  </r>
  <r>
    <s v="CSKU16252_3ES"/>
    <x v="2"/>
    <x v="0"/>
    <x v="1"/>
    <x v="9"/>
    <x v="1"/>
    <x v="7"/>
    <x v="352"/>
    <x v="1"/>
    <x v="14"/>
    <x v="0"/>
    <n v="128580"/>
  </r>
  <r>
    <s v="CSKU16277_3ES"/>
    <x v="2"/>
    <x v="0"/>
    <x v="0"/>
    <x v="2"/>
    <x v="4"/>
    <x v="7"/>
    <x v="181"/>
    <x v="0"/>
    <x v="14"/>
    <x v="0"/>
    <n v="79280"/>
  </r>
  <r>
    <s v="CSKU16278_3ES"/>
    <x v="2"/>
    <x v="0"/>
    <x v="0"/>
    <x v="8"/>
    <x v="4"/>
    <x v="7"/>
    <x v="181"/>
    <x v="0"/>
    <x v="14"/>
    <x v="0"/>
    <n v="82840"/>
  </r>
  <r>
    <s v="CSKU16279_3ES"/>
    <x v="2"/>
    <x v="0"/>
    <x v="0"/>
    <x v="9"/>
    <x v="4"/>
    <x v="7"/>
    <x v="181"/>
    <x v="0"/>
    <x v="14"/>
    <x v="0"/>
    <n v="86380"/>
  </r>
  <r>
    <s v="CSKU16280_3ES"/>
    <x v="2"/>
    <x v="0"/>
    <x v="0"/>
    <x v="2"/>
    <x v="1"/>
    <x v="7"/>
    <x v="181"/>
    <x v="0"/>
    <x v="14"/>
    <x v="0"/>
    <n v="90510"/>
  </r>
  <r>
    <s v="CSKU16281_3ES"/>
    <x v="2"/>
    <x v="0"/>
    <x v="0"/>
    <x v="8"/>
    <x v="1"/>
    <x v="7"/>
    <x v="181"/>
    <x v="0"/>
    <x v="14"/>
    <x v="0"/>
    <n v="94070"/>
  </r>
  <r>
    <s v="CSKU16313_3ES"/>
    <x v="2"/>
    <x v="0"/>
    <x v="0"/>
    <x v="2"/>
    <x v="4"/>
    <x v="7"/>
    <x v="356"/>
    <x v="0"/>
    <x v="14"/>
    <x v="0"/>
    <n v="63960"/>
  </r>
  <r>
    <s v="CSKU16314_3ES"/>
    <x v="2"/>
    <x v="0"/>
    <x v="0"/>
    <x v="8"/>
    <x v="4"/>
    <x v="7"/>
    <x v="356"/>
    <x v="0"/>
    <x v="14"/>
    <x v="0"/>
    <n v="67520"/>
  </r>
  <r>
    <s v="CSKU16315_3ES"/>
    <x v="2"/>
    <x v="0"/>
    <x v="0"/>
    <x v="9"/>
    <x v="4"/>
    <x v="7"/>
    <x v="356"/>
    <x v="0"/>
    <x v="14"/>
    <x v="0"/>
    <n v="71060"/>
  </r>
  <r>
    <s v="CSKU16316_3ES"/>
    <x v="2"/>
    <x v="0"/>
    <x v="0"/>
    <x v="2"/>
    <x v="1"/>
    <x v="7"/>
    <x v="356"/>
    <x v="0"/>
    <x v="14"/>
    <x v="0"/>
    <n v="73430"/>
  </r>
  <r>
    <s v="CSKU16349_3ES"/>
    <x v="2"/>
    <x v="0"/>
    <x v="0"/>
    <x v="2"/>
    <x v="4"/>
    <x v="7"/>
    <x v="357"/>
    <x v="0"/>
    <x v="14"/>
    <x v="0"/>
    <n v="96480"/>
  </r>
  <r>
    <s v="CSKU16385_3ES"/>
    <x v="2"/>
    <x v="0"/>
    <x v="0"/>
    <x v="2"/>
    <x v="4"/>
    <x v="7"/>
    <x v="358"/>
    <x v="0"/>
    <x v="14"/>
    <x v="0"/>
    <n v="96480"/>
  </r>
  <r>
    <s v="CSKU16386_3ES"/>
    <x v="2"/>
    <x v="0"/>
    <x v="0"/>
    <x v="8"/>
    <x v="4"/>
    <x v="7"/>
    <x v="358"/>
    <x v="0"/>
    <x v="14"/>
    <x v="0"/>
    <n v="100040"/>
  </r>
  <r>
    <s v="CSKU16387_3ES"/>
    <x v="2"/>
    <x v="0"/>
    <x v="0"/>
    <x v="9"/>
    <x v="4"/>
    <x v="7"/>
    <x v="358"/>
    <x v="0"/>
    <x v="14"/>
    <x v="0"/>
    <n v="103580"/>
  </r>
  <r>
    <s v="CSKU16388_3ES"/>
    <x v="2"/>
    <x v="0"/>
    <x v="0"/>
    <x v="2"/>
    <x v="1"/>
    <x v="7"/>
    <x v="358"/>
    <x v="0"/>
    <x v="14"/>
    <x v="0"/>
    <n v="112470"/>
  </r>
  <r>
    <s v="CSKU16389_3ES"/>
    <x v="2"/>
    <x v="0"/>
    <x v="0"/>
    <x v="8"/>
    <x v="1"/>
    <x v="7"/>
    <x v="358"/>
    <x v="0"/>
    <x v="14"/>
    <x v="0"/>
    <n v="116030"/>
  </r>
  <r>
    <s v="CSKU16319_3ES"/>
    <x v="2"/>
    <x v="0"/>
    <x v="1"/>
    <x v="2"/>
    <x v="4"/>
    <x v="7"/>
    <x v="356"/>
    <x v="1"/>
    <x v="14"/>
    <x v="0"/>
    <n v="70350"/>
  </r>
  <r>
    <s v="CSKU16320_3ES"/>
    <x v="2"/>
    <x v="0"/>
    <x v="1"/>
    <x v="2"/>
    <x v="1"/>
    <x v="7"/>
    <x v="356"/>
    <x v="1"/>
    <x v="14"/>
    <x v="0"/>
    <n v="80890"/>
  </r>
  <r>
    <s v="CSKU16321_3ES"/>
    <x v="2"/>
    <x v="0"/>
    <x v="1"/>
    <x v="8"/>
    <x v="4"/>
    <x v="7"/>
    <x v="356"/>
    <x v="1"/>
    <x v="14"/>
    <x v="0"/>
    <n v="74330"/>
  </r>
  <r>
    <s v="CSKU16322_3ES"/>
    <x v="2"/>
    <x v="0"/>
    <x v="1"/>
    <x v="8"/>
    <x v="1"/>
    <x v="7"/>
    <x v="356"/>
    <x v="1"/>
    <x v="14"/>
    <x v="0"/>
    <n v="84860"/>
  </r>
  <r>
    <s v="CSKU16323_3ES"/>
    <x v="2"/>
    <x v="0"/>
    <x v="1"/>
    <x v="9"/>
    <x v="4"/>
    <x v="7"/>
    <x v="356"/>
    <x v="1"/>
    <x v="14"/>
    <x v="0"/>
    <n v="78300"/>
  </r>
  <r>
    <s v="CSKU16324_3ES"/>
    <x v="2"/>
    <x v="0"/>
    <x v="1"/>
    <x v="9"/>
    <x v="1"/>
    <x v="7"/>
    <x v="356"/>
    <x v="1"/>
    <x v="14"/>
    <x v="0"/>
    <n v="90820"/>
  </r>
  <r>
    <s v="CSKU16350_3ES"/>
    <x v="2"/>
    <x v="0"/>
    <x v="0"/>
    <x v="8"/>
    <x v="4"/>
    <x v="7"/>
    <x v="357"/>
    <x v="0"/>
    <x v="14"/>
    <x v="0"/>
    <n v="100040"/>
  </r>
  <r>
    <s v="CSKU16390_3ES"/>
    <x v="2"/>
    <x v="0"/>
    <x v="0"/>
    <x v="9"/>
    <x v="1"/>
    <x v="7"/>
    <x v="358"/>
    <x v="0"/>
    <x v="14"/>
    <x v="0"/>
    <n v="121340"/>
  </r>
  <r>
    <s v="CSKU16351_3ES"/>
    <x v="2"/>
    <x v="0"/>
    <x v="0"/>
    <x v="9"/>
    <x v="4"/>
    <x v="7"/>
    <x v="357"/>
    <x v="0"/>
    <x v="14"/>
    <x v="0"/>
    <n v="103580"/>
  </r>
  <r>
    <s v="CSKU16352_3ES"/>
    <x v="2"/>
    <x v="0"/>
    <x v="0"/>
    <x v="2"/>
    <x v="1"/>
    <x v="7"/>
    <x v="357"/>
    <x v="0"/>
    <x v="14"/>
    <x v="0"/>
    <n v="112470"/>
  </r>
  <r>
    <s v="CSKU16353_3ES"/>
    <x v="2"/>
    <x v="0"/>
    <x v="0"/>
    <x v="8"/>
    <x v="1"/>
    <x v="7"/>
    <x v="357"/>
    <x v="0"/>
    <x v="14"/>
    <x v="0"/>
    <n v="116030"/>
  </r>
  <r>
    <s v="CSKU16354_3ES"/>
    <x v="2"/>
    <x v="0"/>
    <x v="0"/>
    <x v="9"/>
    <x v="1"/>
    <x v="7"/>
    <x v="357"/>
    <x v="0"/>
    <x v="14"/>
    <x v="0"/>
    <n v="121340"/>
  </r>
  <r>
    <s v="CSKU16355_3ES"/>
    <x v="2"/>
    <x v="0"/>
    <x v="1"/>
    <x v="2"/>
    <x v="4"/>
    <x v="7"/>
    <x v="357"/>
    <x v="1"/>
    <x v="14"/>
    <x v="0"/>
    <n v="101590"/>
  </r>
  <r>
    <s v="CSKU16356_3ES"/>
    <x v="2"/>
    <x v="0"/>
    <x v="1"/>
    <x v="2"/>
    <x v="1"/>
    <x v="7"/>
    <x v="357"/>
    <x v="1"/>
    <x v="14"/>
    <x v="0"/>
    <n v="118650"/>
  </r>
  <r>
    <s v="CSKU16357_3ES"/>
    <x v="2"/>
    <x v="0"/>
    <x v="1"/>
    <x v="8"/>
    <x v="4"/>
    <x v="7"/>
    <x v="357"/>
    <x v="1"/>
    <x v="14"/>
    <x v="0"/>
    <n v="105570"/>
  </r>
  <r>
    <s v="CSKU16358_3ES"/>
    <x v="2"/>
    <x v="0"/>
    <x v="1"/>
    <x v="8"/>
    <x v="1"/>
    <x v="7"/>
    <x v="357"/>
    <x v="1"/>
    <x v="14"/>
    <x v="0"/>
    <n v="122620"/>
  </r>
  <r>
    <s v="CSKU16359_3ES"/>
    <x v="2"/>
    <x v="0"/>
    <x v="1"/>
    <x v="9"/>
    <x v="4"/>
    <x v="7"/>
    <x v="357"/>
    <x v="1"/>
    <x v="14"/>
    <x v="0"/>
    <n v="109540"/>
  </r>
  <r>
    <s v="CSKU16360_3ES"/>
    <x v="2"/>
    <x v="0"/>
    <x v="1"/>
    <x v="9"/>
    <x v="1"/>
    <x v="7"/>
    <x v="357"/>
    <x v="1"/>
    <x v="14"/>
    <x v="0"/>
    <n v="128580"/>
  </r>
  <r>
    <s v="CSKU16391_3ES"/>
    <x v="2"/>
    <x v="0"/>
    <x v="1"/>
    <x v="2"/>
    <x v="4"/>
    <x v="7"/>
    <x v="358"/>
    <x v="1"/>
    <x v="14"/>
    <x v="0"/>
    <n v="101590"/>
  </r>
  <r>
    <s v="CSKU16392_3ES"/>
    <x v="2"/>
    <x v="0"/>
    <x v="1"/>
    <x v="2"/>
    <x v="1"/>
    <x v="7"/>
    <x v="358"/>
    <x v="1"/>
    <x v="14"/>
    <x v="0"/>
    <n v="118650"/>
  </r>
  <r>
    <s v="CSKU16393_3ES"/>
    <x v="2"/>
    <x v="0"/>
    <x v="1"/>
    <x v="8"/>
    <x v="4"/>
    <x v="7"/>
    <x v="358"/>
    <x v="1"/>
    <x v="14"/>
    <x v="0"/>
    <n v="105570"/>
  </r>
  <r>
    <s v="CSKU16394_3ES"/>
    <x v="2"/>
    <x v="0"/>
    <x v="1"/>
    <x v="8"/>
    <x v="1"/>
    <x v="7"/>
    <x v="358"/>
    <x v="1"/>
    <x v="14"/>
    <x v="0"/>
    <n v="122620"/>
  </r>
  <r>
    <s v="CSKU16395_3ES"/>
    <x v="2"/>
    <x v="0"/>
    <x v="1"/>
    <x v="9"/>
    <x v="4"/>
    <x v="7"/>
    <x v="358"/>
    <x v="1"/>
    <x v="14"/>
    <x v="0"/>
    <n v="109540"/>
  </r>
  <r>
    <s v="CSKU16396_3ES"/>
    <x v="2"/>
    <x v="0"/>
    <x v="1"/>
    <x v="9"/>
    <x v="1"/>
    <x v="7"/>
    <x v="358"/>
    <x v="1"/>
    <x v="14"/>
    <x v="0"/>
    <n v="128580"/>
  </r>
  <r>
    <s v="CSKU16098_3ES"/>
    <x v="2"/>
    <x v="0"/>
    <x v="0"/>
    <x v="2"/>
    <x v="1"/>
    <x v="7"/>
    <x v="354"/>
    <x v="0"/>
    <x v="14"/>
    <x v="0"/>
    <n v="87030"/>
  </r>
  <r>
    <s v="CSKU16139_3ES"/>
    <x v="2"/>
    <x v="0"/>
    <x v="1"/>
    <x v="2"/>
    <x v="4"/>
    <x v="7"/>
    <x v="355"/>
    <x v="1"/>
    <x v="14"/>
    <x v="0"/>
    <n v="112530"/>
  </r>
  <r>
    <s v="CSKU16099_3ES"/>
    <x v="2"/>
    <x v="0"/>
    <x v="0"/>
    <x v="8"/>
    <x v="4"/>
    <x v="7"/>
    <x v="354"/>
    <x v="0"/>
    <x v="14"/>
    <x v="0"/>
    <n v="78460"/>
  </r>
  <r>
    <s v="CSKU16100_3ES"/>
    <x v="2"/>
    <x v="0"/>
    <x v="0"/>
    <x v="8"/>
    <x v="1"/>
    <x v="7"/>
    <x v="354"/>
    <x v="0"/>
    <x v="14"/>
    <x v="0"/>
    <n v="90590"/>
  </r>
  <r>
    <s v="CSKU16101_3ES"/>
    <x v="2"/>
    <x v="0"/>
    <x v="0"/>
    <x v="9"/>
    <x v="4"/>
    <x v="7"/>
    <x v="354"/>
    <x v="0"/>
    <x v="14"/>
    <x v="0"/>
    <n v="82000"/>
  </r>
  <r>
    <s v="CSKU16102_3ES"/>
    <x v="2"/>
    <x v="0"/>
    <x v="0"/>
    <x v="9"/>
    <x v="1"/>
    <x v="7"/>
    <x v="354"/>
    <x v="0"/>
    <x v="14"/>
    <x v="0"/>
    <n v="95900"/>
  </r>
  <r>
    <s v="CSKU16103_3ES"/>
    <x v="2"/>
    <x v="0"/>
    <x v="1"/>
    <x v="2"/>
    <x v="4"/>
    <x v="7"/>
    <x v="354"/>
    <x v="1"/>
    <x v="14"/>
    <x v="0"/>
    <n v="81290"/>
  </r>
  <r>
    <s v="CSKU16104_3ES"/>
    <x v="2"/>
    <x v="0"/>
    <x v="1"/>
    <x v="2"/>
    <x v="1"/>
    <x v="7"/>
    <x v="354"/>
    <x v="1"/>
    <x v="14"/>
    <x v="0"/>
    <n v="94490"/>
  </r>
  <r>
    <s v="CSKU16105_3ES"/>
    <x v="2"/>
    <x v="0"/>
    <x v="1"/>
    <x v="8"/>
    <x v="4"/>
    <x v="7"/>
    <x v="354"/>
    <x v="1"/>
    <x v="14"/>
    <x v="0"/>
    <n v="85270"/>
  </r>
  <r>
    <s v="CSKU16106_3ES"/>
    <x v="2"/>
    <x v="0"/>
    <x v="1"/>
    <x v="8"/>
    <x v="1"/>
    <x v="7"/>
    <x v="354"/>
    <x v="1"/>
    <x v="14"/>
    <x v="0"/>
    <n v="98460"/>
  </r>
  <r>
    <s v="CSKU16107_3ES"/>
    <x v="2"/>
    <x v="0"/>
    <x v="1"/>
    <x v="9"/>
    <x v="4"/>
    <x v="7"/>
    <x v="354"/>
    <x v="1"/>
    <x v="14"/>
    <x v="0"/>
    <n v="89240"/>
  </r>
  <r>
    <s v="CSKU16108_3ES"/>
    <x v="2"/>
    <x v="0"/>
    <x v="1"/>
    <x v="9"/>
    <x v="1"/>
    <x v="7"/>
    <x v="354"/>
    <x v="1"/>
    <x v="14"/>
    <x v="0"/>
    <n v="104420"/>
  </r>
  <r>
    <s v="CSKU16205_3ES"/>
    <x v="2"/>
    <x v="0"/>
    <x v="0"/>
    <x v="2"/>
    <x v="4"/>
    <x v="7"/>
    <x v="359"/>
    <x v="0"/>
    <x v="14"/>
    <x v="0"/>
    <n v="107420"/>
  </r>
  <r>
    <s v="CSKU16317_3ES"/>
    <x v="2"/>
    <x v="0"/>
    <x v="0"/>
    <x v="8"/>
    <x v="1"/>
    <x v="7"/>
    <x v="356"/>
    <x v="0"/>
    <x v="14"/>
    <x v="0"/>
    <n v="76990"/>
  </r>
  <r>
    <s v="CSKU16140_3ES"/>
    <x v="2"/>
    <x v="0"/>
    <x v="1"/>
    <x v="2"/>
    <x v="1"/>
    <x v="7"/>
    <x v="355"/>
    <x v="1"/>
    <x v="14"/>
    <x v="0"/>
    <n v="132250"/>
  </r>
  <r>
    <s v="CSKU16141_3ES"/>
    <x v="2"/>
    <x v="0"/>
    <x v="1"/>
    <x v="8"/>
    <x v="4"/>
    <x v="7"/>
    <x v="355"/>
    <x v="1"/>
    <x v="14"/>
    <x v="0"/>
    <n v="116510"/>
  </r>
  <r>
    <s v="CSKU16142_3ES"/>
    <x v="2"/>
    <x v="0"/>
    <x v="1"/>
    <x v="8"/>
    <x v="1"/>
    <x v="7"/>
    <x v="355"/>
    <x v="1"/>
    <x v="14"/>
    <x v="0"/>
    <n v="136220"/>
  </r>
  <r>
    <s v="CSKU16143_3ES"/>
    <x v="2"/>
    <x v="0"/>
    <x v="1"/>
    <x v="9"/>
    <x v="4"/>
    <x v="7"/>
    <x v="355"/>
    <x v="1"/>
    <x v="14"/>
    <x v="0"/>
    <n v="120480"/>
  </r>
  <r>
    <s v="CSKU16144_3ES"/>
    <x v="2"/>
    <x v="0"/>
    <x v="1"/>
    <x v="9"/>
    <x v="1"/>
    <x v="7"/>
    <x v="355"/>
    <x v="1"/>
    <x v="14"/>
    <x v="0"/>
    <n v="142180"/>
  </r>
  <r>
    <s v="CSKU16169_3ES"/>
    <x v="2"/>
    <x v="0"/>
    <x v="0"/>
    <x v="2"/>
    <x v="4"/>
    <x v="7"/>
    <x v="360"/>
    <x v="0"/>
    <x v="14"/>
    <x v="0"/>
    <n v="107420"/>
  </r>
  <r>
    <s v="CSKU16170_3ES"/>
    <x v="2"/>
    <x v="0"/>
    <x v="0"/>
    <x v="8"/>
    <x v="4"/>
    <x v="7"/>
    <x v="360"/>
    <x v="0"/>
    <x v="14"/>
    <x v="0"/>
    <n v="110980"/>
  </r>
  <r>
    <s v="CSKU16171_3ES"/>
    <x v="2"/>
    <x v="0"/>
    <x v="0"/>
    <x v="9"/>
    <x v="4"/>
    <x v="7"/>
    <x v="360"/>
    <x v="0"/>
    <x v="14"/>
    <x v="0"/>
    <n v="114520"/>
  </r>
  <r>
    <s v="CSKU16172_3ES"/>
    <x v="2"/>
    <x v="0"/>
    <x v="0"/>
    <x v="2"/>
    <x v="1"/>
    <x v="7"/>
    <x v="360"/>
    <x v="0"/>
    <x v="14"/>
    <x v="0"/>
    <n v="126070"/>
  </r>
  <r>
    <s v="CSKU16173_3ES"/>
    <x v="2"/>
    <x v="0"/>
    <x v="0"/>
    <x v="8"/>
    <x v="1"/>
    <x v="7"/>
    <x v="360"/>
    <x v="0"/>
    <x v="14"/>
    <x v="0"/>
    <n v="129630"/>
  </r>
  <r>
    <s v="CSKU16174_3ES"/>
    <x v="2"/>
    <x v="0"/>
    <x v="0"/>
    <x v="9"/>
    <x v="1"/>
    <x v="7"/>
    <x v="360"/>
    <x v="0"/>
    <x v="14"/>
    <x v="0"/>
    <n v="134940"/>
  </r>
  <r>
    <s v="CSKU16175_3ES"/>
    <x v="2"/>
    <x v="0"/>
    <x v="1"/>
    <x v="2"/>
    <x v="4"/>
    <x v="7"/>
    <x v="360"/>
    <x v="1"/>
    <x v="14"/>
    <x v="0"/>
    <n v="112530"/>
  </r>
  <r>
    <s v="CSKU16176_3ES"/>
    <x v="2"/>
    <x v="0"/>
    <x v="1"/>
    <x v="2"/>
    <x v="1"/>
    <x v="7"/>
    <x v="360"/>
    <x v="1"/>
    <x v="14"/>
    <x v="0"/>
    <n v="132250"/>
  </r>
  <r>
    <s v="CSKU16177_3ES"/>
    <x v="2"/>
    <x v="0"/>
    <x v="1"/>
    <x v="8"/>
    <x v="4"/>
    <x v="7"/>
    <x v="360"/>
    <x v="1"/>
    <x v="14"/>
    <x v="0"/>
    <n v="116510"/>
  </r>
  <r>
    <s v="CSKU16178_3ES"/>
    <x v="2"/>
    <x v="0"/>
    <x v="1"/>
    <x v="8"/>
    <x v="1"/>
    <x v="7"/>
    <x v="360"/>
    <x v="1"/>
    <x v="14"/>
    <x v="0"/>
    <n v="136220"/>
  </r>
  <r>
    <s v="CSKU16318_3ES"/>
    <x v="2"/>
    <x v="0"/>
    <x v="0"/>
    <x v="9"/>
    <x v="1"/>
    <x v="7"/>
    <x v="356"/>
    <x v="0"/>
    <x v="14"/>
    <x v="0"/>
    <n v="82300"/>
  </r>
  <r>
    <s v="CSKU16179_3ES"/>
    <x v="2"/>
    <x v="0"/>
    <x v="1"/>
    <x v="9"/>
    <x v="4"/>
    <x v="7"/>
    <x v="360"/>
    <x v="1"/>
    <x v="14"/>
    <x v="0"/>
    <n v="120480"/>
  </r>
  <r>
    <s v="CSKU16180_3ES"/>
    <x v="2"/>
    <x v="0"/>
    <x v="1"/>
    <x v="9"/>
    <x v="1"/>
    <x v="7"/>
    <x v="360"/>
    <x v="1"/>
    <x v="14"/>
    <x v="0"/>
    <n v="142180"/>
  </r>
  <r>
    <s v="CSKU16206_3ES"/>
    <x v="2"/>
    <x v="0"/>
    <x v="0"/>
    <x v="8"/>
    <x v="4"/>
    <x v="7"/>
    <x v="359"/>
    <x v="0"/>
    <x v="14"/>
    <x v="0"/>
    <n v="110980"/>
  </r>
  <r>
    <s v="CSKU16207_3ES"/>
    <x v="2"/>
    <x v="0"/>
    <x v="0"/>
    <x v="9"/>
    <x v="4"/>
    <x v="7"/>
    <x v="359"/>
    <x v="0"/>
    <x v="14"/>
    <x v="0"/>
    <n v="114520"/>
  </r>
  <r>
    <s v="CSKU16208_3ES"/>
    <x v="2"/>
    <x v="0"/>
    <x v="0"/>
    <x v="2"/>
    <x v="1"/>
    <x v="7"/>
    <x v="359"/>
    <x v="0"/>
    <x v="14"/>
    <x v="0"/>
    <n v="126070"/>
  </r>
  <r>
    <s v="CSKU16209_3ES"/>
    <x v="2"/>
    <x v="0"/>
    <x v="0"/>
    <x v="8"/>
    <x v="1"/>
    <x v="7"/>
    <x v="359"/>
    <x v="0"/>
    <x v="14"/>
    <x v="0"/>
    <n v="129630"/>
  </r>
  <r>
    <s v="CSKU16210_3ES"/>
    <x v="2"/>
    <x v="0"/>
    <x v="0"/>
    <x v="9"/>
    <x v="1"/>
    <x v="7"/>
    <x v="359"/>
    <x v="0"/>
    <x v="14"/>
    <x v="0"/>
    <n v="134940"/>
  </r>
  <r>
    <s v="CSKU16211_3ES"/>
    <x v="2"/>
    <x v="0"/>
    <x v="1"/>
    <x v="2"/>
    <x v="4"/>
    <x v="7"/>
    <x v="359"/>
    <x v="1"/>
    <x v="14"/>
    <x v="0"/>
    <n v="112530"/>
  </r>
  <r>
    <s v="CSKU16212_3ES"/>
    <x v="2"/>
    <x v="0"/>
    <x v="1"/>
    <x v="2"/>
    <x v="1"/>
    <x v="7"/>
    <x v="359"/>
    <x v="1"/>
    <x v="14"/>
    <x v="0"/>
    <n v="132250"/>
  </r>
  <r>
    <s v="CSKU16213_3ES"/>
    <x v="2"/>
    <x v="0"/>
    <x v="1"/>
    <x v="8"/>
    <x v="4"/>
    <x v="7"/>
    <x v="359"/>
    <x v="1"/>
    <x v="14"/>
    <x v="0"/>
    <n v="116510"/>
  </r>
  <r>
    <s v="CSKU16214_3ES"/>
    <x v="2"/>
    <x v="0"/>
    <x v="1"/>
    <x v="8"/>
    <x v="1"/>
    <x v="7"/>
    <x v="359"/>
    <x v="1"/>
    <x v="14"/>
    <x v="0"/>
    <n v="136220"/>
  </r>
  <r>
    <s v="CSKU16215_3ES"/>
    <x v="2"/>
    <x v="0"/>
    <x v="1"/>
    <x v="9"/>
    <x v="4"/>
    <x v="7"/>
    <x v="359"/>
    <x v="1"/>
    <x v="14"/>
    <x v="0"/>
    <n v="120480"/>
  </r>
  <r>
    <s v="CSKU16216_3ES"/>
    <x v="2"/>
    <x v="0"/>
    <x v="1"/>
    <x v="9"/>
    <x v="1"/>
    <x v="7"/>
    <x v="359"/>
    <x v="1"/>
    <x v="14"/>
    <x v="0"/>
    <n v="142180"/>
  </r>
  <r>
    <s v="CSKU15818_3ES"/>
    <x v="2"/>
    <x v="0"/>
    <x v="1"/>
    <x v="8"/>
    <x v="1"/>
    <x v="7"/>
    <x v="177"/>
    <x v="1"/>
    <x v="14"/>
    <x v="0"/>
    <n v="125240"/>
  </r>
  <r>
    <s v="CSKU15819_3ES"/>
    <x v="2"/>
    <x v="0"/>
    <x v="1"/>
    <x v="9"/>
    <x v="4"/>
    <x v="7"/>
    <x v="177"/>
    <x v="1"/>
    <x v="14"/>
    <x v="0"/>
    <n v="111880"/>
  </r>
  <r>
    <s v="CSKU15820_3ES"/>
    <x v="2"/>
    <x v="0"/>
    <x v="1"/>
    <x v="9"/>
    <x v="1"/>
    <x v="7"/>
    <x v="177"/>
    <x v="1"/>
    <x v="14"/>
    <x v="0"/>
    <n v="131200"/>
  </r>
  <r>
    <s v="CSKU15773_3ES"/>
    <x v="2"/>
    <x v="0"/>
    <x v="0"/>
    <x v="2"/>
    <x v="4"/>
    <x v="7"/>
    <x v="361"/>
    <x v="0"/>
    <x v="14"/>
    <x v="0"/>
    <n v="98820"/>
  </r>
  <r>
    <s v="CSKU15774_3ES"/>
    <x v="2"/>
    <x v="0"/>
    <x v="0"/>
    <x v="8"/>
    <x v="4"/>
    <x v="7"/>
    <x v="361"/>
    <x v="0"/>
    <x v="14"/>
    <x v="0"/>
    <n v="102380"/>
  </r>
  <r>
    <s v="CSKU15775_3ES"/>
    <x v="2"/>
    <x v="0"/>
    <x v="0"/>
    <x v="9"/>
    <x v="4"/>
    <x v="7"/>
    <x v="361"/>
    <x v="0"/>
    <x v="14"/>
    <x v="0"/>
    <n v="105920"/>
  </r>
  <r>
    <s v="CSKU15776_3ES"/>
    <x v="2"/>
    <x v="0"/>
    <x v="0"/>
    <x v="2"/>
    <x v="1"/>
    <x v="7"/>
    <x v="361"/>
    <x v="0"/>
    <x v="14"/>
    <x v="0"/>
    <n v="115090"/>
  </r>
  <r>
    <s v="CSKU15921_3ES"/>
    <x v="2"/>
    <x v="0"/>
    <x v="0"/>
    <x v="8"/>
    <x v="1"/>
    <x v="7"/>
    <x v="180"/>
    <x v="0"/>
    <x v="14"/>
    <x v="0"/>
    <n v="96690"/>
  </r>
  <r>
    <s v="CSKU15922_3ES"/>
    <x v="2"/>
    <x v="0"/>
    <x v="0"/>
    <x v="9"/>
    <x v="1"/>
    <x v="7"/>
    <x v="180"/>
    <x v="0"/>
    <x v="14"/>
    <x v="0"/>
    <n v="102000"/>
  </r>
  <r>
    <s v="CSKU15923_3ES"/>
    <x v="2"/>
    <x v="0"/>
    <x v="1"/>
    <x v="2"/>
    <x v="4"/>
    <x v="7"/>
    <x v="180"/>
    <x v="1"/>
    <x v="14"/>
    <x v="0"/>
    <n v="86730"/>
  </r>
  <r>
    <s v="CSKU15924_3ES"/>
    <x v="2"/>
    <x v="0"/>
    <x v="1"/>
    <x v="2"/>
    <x v="1"/>
    <x v="7"/>
    <x v="180"/>
    <x v="1"/>
    <x v="14"/>
    <x v="0"/>
    <n v="99310"/>
  </r>
  <r>
    <s v="CSKU15925_3ES"/>
    <x v="2"/>
    <x v="0"/>
    <x v="1"/>
    <x v="8"/>
    <x v="4"/>
    <x v="7"/>
    <x v="180"/>
    <x v="1"/>
    <x v="14"/>
    <x v="0"/>
    <n v="90710"/>
  </r>
  <r>
    <s v="CSKU15926_3ES"/>
    <x v="2"/>
    <x v="0"/>
    <x v="1"/>
    <x v="8"/>
    <x v="1"/>
    <x v="7"/>
    <x v="180"/>
    <x v="1"/>
    <x v="14"/>
    <x v="0"/>
    <n v="103280"/>
  </r>
  <r>
    <s v="CSKU15927_3ES"/>
    <x v="2"/>
    <x v="0"/>
    <x v="1"/>
    <x v="9"/>
    <x v="4"/>
    <x v="7"/>
    <x v="180"/>
    <x v="1"/>
    <x v="14"/>
    <x v="0"/>
    <n v="94680"/>
  </r>
  <r>
    <s v="CSKU15849_3ES"/>
    <x v="2"/>
    <x v="0"/>
    <x v="0"/>
    <x v="8"/>
    <x v="1"/>
    <x v="7"/>
    <x v="178"/>
    <x v="0"/>
    <x v="14"/>
    <x v="0"/>
    <n v="118650"/>
  </r>
  <r>
    <s v="CSKU15850_3ES"/>
    <x v="2"/>
    <x v="0"/>
    <x v="0"/>
    <x v="9"/>
    <x v="1"/>
    <x v="7"/>
    <x v="178"/>
    <x v="0"/>
    <x v="14"/>
    <x v="0"/>
    <n v="123960"/>
  </r>
  <r>
    <s v="CSKU15851_3ES"/>
    <x v="2"/>
    <x v="0"/>
    <x v="1"/>
    <x v="2"/>
    <x v="4"/>
    <x v="7"/>
    <x v="178"/>
    <x v="1"/>
    <x v="14"/>
    <x v="0"/>
    <n v="103930"/>
  </r>
  <r>
    <s v="CSKU15852_3ES"/>
    <x v="2"/>
    <x v="0"/>
    <x v="1"/>
    <x v="2"/>
    <x v="1"/>
    <x v="7"/>
    <x v="178"/>
    <x v="1"/>
    <x v="14"/>
    <x v="0"/>
    <n v="121270"/>
  </r>
  <r>
    <s v="CSKU15853_3ES"/>
    <x v="2"/>
    <x v="0"/>
    <x v="1"/>
    <x v="8"/>
    <x v="4"/>
    <x v="7"/>
    <x v="178"/>
    <x v="1"/>
    <x v="14"/>
    <x v="0"/>
    <n v="107910"/>
  </r>
  <r>
    <s v="CSKU15854_3ES"/>
    <x v="2"/>
    <x v="0"/>
    <x v="1"/>
    <x v="8"/>
    <x v="1"/>
    <x v="7"/>
    <x v="178"/>
    <x v="1"/>
    <x v="14"/>
    <x v="0"/>
    <n v="125240"/>
  </r>
  <r>
    <s v="CSKU15855_3ES"/>
    <x v="2"/>
    <x v="0"/>
    <x v="1"/>
    <x v="9"/>
    <x v="4"/>
    <x v="7"/>
    <x v="178"/>
    <x v="1"/>
    <x v="14"/>
    <x v="0"/>
    <n v="111880"/>
  </r>
  <r>
    <s v="CSKU15856_3ES"/>
    <x v="2"/>
    <x v="0"/>
    <x v="1"/>
    <x v="9"/>
    <x v="1"/>
    <x v="7"/>
    <x v="178"/>
    <x v="1"/>
    <x v="14"/>
    <x v="0"/>
    <n v="131200"/>
  </r>
  <r>
    <s v="CSKU15891_3ES"/>
    <x v="2"/>
    <x v="0"/>
    <x v="1"/>
    <x v="9"/>
    <x v="4"/>
    <x v="7"/>
    <x v="179"/>
    <x v="1"/>
    <x v="14"/>
    <x v="0"/>
    <n v="111880"/>
  </r>
  <r>
    <s v="CSKU15892_3ES"/>
    <x v="2"/>
    <x v="0"/>
    <x v="1"/>
    <x v="9"/>
    <x v="1"/>
    <x v="7"/>
    <x v="179"/>
    <x v="1"/>
    <x v="14"/>
    <x v="0"/>
    <n v="131200"/>
  </r>
  <r>
    <s v="CSKU15962_3ES"/>
    <x v="2"/>
    <x v="0"/>
    <x v="1"/>
    <x v="8"/>
    <x v="1"/>
    <x v="7"/>
    <x v="362"/>
    <x v="1"/>
    <x v="14"/>
    <x v="0"/>
    <n v="114260"/>
  </r>
  <r>
    <s v="CSKU15963_3ES"/>
    <x v="2"/>
    <x v="0"/>
    <x v="1"/>
    <x v="9"/>
    <x v="4"/>
    <x v="7"/>
    <x v="362"/>
    <x v="1"/>
    <x v="14"/>
    <x v="0"/>
    <n v="103280"/>
  </r>
  <r>
    <s v="CSKU15964_3ES"/>
    <x v="2"/>
    <x v="0"/>
    <x v="1"/>
    <x v="9"/>
    <x v="1"/>
    <x v="7"/>
    <x v="362"/>
    <x v="1"/>
    <x v="14"/>
    <x v="0"/>
    <n v="120220"/>
  </r>
  <r>
    <s v="CSKU15989_3ES"/>
    <x v="2"/>
    <x v="0"/>
    <x v="0"/>
    <x v="2"/>
    <x v="4"/>
    <x v="7"/>
    <x v="363"/>
    <x v="0"/>
    <x v="14"/>
    <x v="0"/>
    <n v="107420"/>
  </r>
  <r>
    <s v="CSKU16025_3ES"/>
    <x v="2"/>
    <x v="0"/>
    <x v="0"/>
    <x v="2"/>
    <x v="4"/>
    <x v="7"/>
    <x v="364"/>
    <x v="0"/>
    <x v="14"/>
    <x v="0"/>
    <n v="85540"/>
  </r>
  <r>
    <s v="CSKU16026_3ES"/>
    <x v="2"/>
    <x v="0"/>
    <x v="0"/>
    <x v="8"/>
    <x v="4"/>
    <x v="7"/>
    <x v="364"/>
    <x v="0"/>
    <x v="14"/>
    <x v="0"/>
    <n v="89100"/>
  </r>
  <r>
    <s v="CSKU16000_3ES"/>
    <x v="2"/>
    <x v="0"/>
    <x v="1"/>
    <x v="9"/>
    <x v="1"/>
    <x v="7"/>
    <x v="363"/>
    <x v="1"/>
    <x v="14"/>
    <x v="0"/>
    <n v="142180"/>
  </r>
  <r>
    <s v="CSKU16027_3ES"/>
    <x v="2"/>
    <x v="0"/>
    <x v="0"/>
    <x v="9"/>
    <x v="4"/>
    <x v="7"/>
    <x v="364"/>
    <x v="0"/>
    <x v="14"/>
    <x v="0"/>
    <n v="92640"/>
  </r>
  <r>
    <s v="CSKU16028_3ES"/>
    <x v="2"/>
    <x v="0"/>
    <x v="0"/>
    <x v="2"/>
    <x v="1"/>
    <x v="7"/>
    <x v="364"/>
    <x v="0"/>
    <x v="14"/>
    <x v="0"/>
    <n v="98870"/>
  </r>
  <r>
    <s v="CSKU16029_3ES"/>
    <x v="2"/>
    <x v="0"/>
    <x v="0"/>
    <x v="8"/>
    <x v="1"/>
    <x v="7"/>
    <x v="364"/>
    <x v="0"/>
    <x v="14"/>
    <x v="0"/>
    <n v="102430"/>
  </r>
  <r>
    <s v="CSKU16030_3ES"/>
    <x v="2"/>
    <x v="0"/>
    <x v="0"/>
    <x v="9"/>
    <x v="1"/>
    <x v="7"/>
    <x v="364"/>
    <x v="0"/>
    <x v="14"/>
    <x v="0"/>
    <n v="107740"/>
  </r>
  <r>
    <s v="CSKU16031_3ES"/>
    <x v="2"/>
    <x v="0"/>
    <x v="1"/>
    <x v="2"/>
    <x v="4"/>
    <x v="7"/>
    <x v="364"/>
    <x v="1"/>
    <x v="14"/>
    <x v="0"/>
    <n v="90650"/>
  </r>
  <r>
    <s v="CSKU16032_3ES"/>
    <x v="2"/>
    <x v="0"/>
    <x v="1"/>
    <x v="2"/>
    <x v="1"/>
    <x v="7"/>
    <x v="364"/>
    <x v="1"/>
    <x v="14"/>
    <x v="0"/>
    <n v="105050"/>
  </r>
  <r>
    <s v="CSKU16033_3ES"/>
    <x v="2"/>
    <x v="0"/>
    <x v="1"/>
    <x v="8"/>
    <x v="4"/>
    <x v="7"/>
    <x v="364"/>
    <x v="1"/>
    <x v="14"/>
    <x v="0"/>
    <n v="94630"/>
  </r>
  <r>
    <s v="CSKU16034_3ES"/>
    <x v="2"/>
    <x v="0"/>
    <x v="1"/>
    <x v="8"/>
    <x v="1"/>
    <x v="7"/>
    <x v="364"/>
    <x v="1"/>
    <x v="14"/>
    <x v="0"/>
    <n v="109020"/>
  </r>
  <r>
    <s v="CSKU16035_3ES"/>
    <x v="2"/>
    <x v="0"/>
    <x v="1"/>
    <x v="9"/>
    <x v="4"/>
    <x v="7"/>
    <x v="364"/>
    <x v="1"/>
    <x v="14"/>
    <x v="0"/>
    <n v="98600"/>
  </r>
  <r>
    <s v="CSKU16036_3ES"/>
    <x v="2"/>
    <x v="0"/>
    <x v="1"/>
    <x v="9"/>
    <x v="1"/>
    <x v="7"/>
    <x v="364"/>
    <x v="1"/>
    <x v="14"/>
    <x v="0"/>
    <n v="114980"/>
  </r>
  <r>
    <s v="CSKU16061_3ES"/>
    <x v="2"/>
    <x v="0"/>
    <x v="0"/>
    <x v="2"/>
    <x v="4"/>
    <x v="7"/>
    <x v="365"/>
    <x v="0"/>
    <x v="14"/>
    <x v="0"/>
    <n v="85540"/>
  </r>
  <r>
    <s v="CSKU16062_3ES"/>
    <x v="2"/>
    <x v="0"/>
    <x v="0"/>
    <x v="8"/>
    <x v="4"/>
    <x v="7"/>
    <x v="365"/>
    <x v="0"/>
    <x v="14"/>
    <x v="0"/>
    <n v="89100"/>
  </r>
  <r>
    <s v="CSKU16063_3ES"/>
    <x v="2"/>
    <x v="0"/>
    <x v="0"/>
    <x v="9"/>
    <x v="4"/>
    <x v="7"/>
    <x v="365"/>
    <x v="0"/>
    <x v="14"/>
    <x v="0"/>
    <n v="92640"/>
  </r>
  <r>
    <s v="CSKU16064_3ES"/>
    <x v="2"/>
    <x v="0"/>
    <x v="0"/>
    <x v="2"/>
    <x v="1"/>
    <x v="7"/>
    <x v="365"/>
    <x v="0"/>
    <x v="14"/>
    <x v="0"/>
    <n v="98870"/>
  </r>
  <r>
    <s v="CSKU16065_3ES"/>
    <x v="2"/>
    <x v="0"/>
    <x v="0"/>
    <x v="8"/>
    <x v="1"/>
    <x v="7"/>
    <x v="365"/>
    <x v="0"/>
    <x v="14"/>
    <x v="0"/>
    <n v="102430"/>
  </r>
  <r>
    <s v="CSKU16066_3ES"/>
    <x v="2"/>
    <x v="0"/>
    <x v="0"/>
    <x v="9"/>
    <x v="1"/>
    <x v="7"/>
    <x v="365"/>
    <x v="0"/>
    <x v="14"/>
    <x v="0"/>
    <n v="107740"/>
  </r>
  <r>
    <s v="CSKU16067_3ES"/>
    <x v="2"/>
    <x v="0"/>
    <x v="1"/>
    <x v="2"/>
    <x v="4"/>
    <x v="7"/>
    <x v="365"/>
    <x v="1"/>
    <x v="14"/>
    <x v="0"/>
    <n v="90650"/>
  </r>
  <r>
    <s v="CSKU16068_3ES"/>
    <x v="2"/>
    <x v="0"/>
    <x v="1"/>
    <x v="2"/>
    <x v="1"/>
    <x v="7"/>
    <x v="365"/>
    <x v="1"/>
    <x v="14"/>
    <x v="0"/>
    <n v="105050"/>
  </r>
  <r>
    <s v="CSKU16069_3ES"/>
    <x v="2"/>
    <x v="0"/>
    <x v="1"/>
    <x v="8"/>
    <x v="4"/>
    <x v="7"/>
    <x v="365"/>
    <x v="1"/>
    <x v="14"/>
    <x v="0"/>
    <n v="94630"/>
  </r>
  <r>
    <s v="CSKU16070_3ES"/>
    <x v="2"/>
    <x v="0"/>
    <x v="1"/>
    <x v="8"/>
    <x v="1"/>
    <x v="7"/>
    <x v="365"/>
    <x v="1"/>
    <x v="14"/>
    <x v="0"/>
    <n v="109020"/>
  </r>
  <r>
    <s v="CSKU16071_3ES"/>
    <x v="2"/>
    <x v="0"/>
    <x v="1"/>
    <x v="9"/>
    <x v="4"/>
    <x v="7"/>
    <x v="365"/>
    <x v="1"/>
    <x v="14"/>
    <x v="0"/>
    <n v="98600"/>
  </r>
  <r>
    <s v="CSKU16072_3ES"/>
    <x v="2"/>
    <x v="0"/>
    <x v="1"/>
    <x v="9"/>
    <x v="1"/>
    <x v="7"/>
    <x v="365"/>
    <x v="1"/>
    <x v="14"/>
    <x v="0"/>
    <n v="114980"/>
  </r>
  <r>
    <s v="CSKU15777_3ES"/>
    <x v="2"/>
    <x v="0"/>
    <x v="0"/>
    <x v="8"/>
    <x v="1"/>
    <x v="7"/>
    <x v="361"/>
    <x v="0"/>
    <x v="14"/>
    <x v="0"/>
    <n v="118650"/>
  </r>
  <r>
    <s v="CSKU15629_3ES"/>
    <x v="2"/>
    <x v="0"/>
    <x v="0"/>
    <x v="2"/>
    <x v="4"/>
    <x v="7"/>
    <x v="366"/>
    <x v="0"/>
    <x v="14"/>
    <x v="0"/>
    <n v="98820"/>
  </r>
  <r>
    <s v="CSKU15630_3ES"/>
    <x v="2"/>
    <x v="0"/>
    <x v="0"/>
    <x v="8"/>
    <x v="4"/>
    <x v="7"/>
    <x v="366"/>
    <x v="0"/>
    <x v="14"/>
    <x v="0"/>
    <n v="102380"/>
  </r>
  <r>
    <s v="CSKU15631_3ES"/>
    <x v="2"/>
    <x v="0"/>
    <x v="0"/>
    <x v="9"/>
    <x v="4"/>
    <x v="7"/>
    <x v="366"/>
    <x v="0"/>
    <x v="14"/>
    <x v="0"/>
    <n v="105920"/>
  </r>
  <r>
    <s v="CSKU15632_3ES"/>
    <x v="2"/>
    <x v="0"/>
    <x v="0"/>
    <x v="2"/>
    <x v="1"/>
    <x v="7"/>
    <x v="366"/>
    <x v="0"/>
    <x v="14"/>
    <x v="0"/>
    <n v="115090"/>
  </r>
  <r>
    <s v="CSKU15778_3ES"/>
    <x v="2"/>
    <x v="0"/>
    <x v="0"/>
    <x v="9"/>
    <x v="1"/>
    <x v="7"/>
    <x v="361"/>
    <x v="0"/>
    <x v="14"/>
    <x v="0"/>
    <n v="123960"/>
  </r>
  <r>
    <s v="CSKU15779_3ES"/>
    <x v="2"/>
    <x v="0"/>
    <x v="1"/>
    <x v="2"/>
    <x v="4"/>
    <x v="7"/>
    <x v="361"/>
    <x v="1"/>
    <x v="14"/>
    <x v="0"/>
    <n v="103930"/>
  </r>
  <r>
    <s v="CSKU15780_3ES"/>
    <x v="2"/>
    <x v="0"/>
    <x v="1"/>
    <x v="2"/>
    <x v="1"/>
    <x v="7"/>
    <x v="361"/>
    <x v="1"/>
    <x v="14"/>
    <x v="0"/>
    <n v="121270"/>
  </r>
  <r>
    <s v="CSKU15781_3ES"/>
    <x v="2"/>
    <x v="0"/>
    <x v="1"/>
    <x v="8"/>
    <x v="4"/>
    <x v="7"/>
    <x v="361"/>
    <x v="1"/>
    <x v="14"/>
    <x v="0"/>
    <n v="107910"/>
  </r>
  <r>
    <s v="CSKU15782_3ES"/>
    <x v="2"/>
    <x v="0"/>
    <x v="1"/>
    <x v="8"/>
    <x v="1"/>
    <x v="7"/>
    <x v="361"/>
    <x v="1"/>
    <x v="14"/>
    <x v="0"/>
    <n v="125240"/>
  </r>
  <r>
    <s v="CSKU15783_3ES"/>
    <x v="2"/>
    <x v="0"/>
    <x v="1"/>
    <x v="9"/>
    <x v="4"/>
    <x v="7"/>
    <x v="361"/>
    <x v="1"/>
    <x v="14"/>
    <x v="0"/>
    <n v="111880"/>
  </r>
  <r>
    <s v="CSKU15784_3ES"/>
    <x v="2"/>
    <x v="0"/>
    <x v="1"/>
    <x v="9"/>
    <x v="1"/>
    <x v="7"/>
    <x v="361"/>
    <x v="1"/>
    <x v="14"/>
    <x v="0"/>
    <n v="131200"/>
  </r>
  <r>
    <s v="CSKU15810_3ES"/>
    <x v="2"/>
    <x v="0"/>
    <x v="0"/>
    <x v="8"/>
    <x v="4"/>
    <x v="7"/>
    <x v="177"/>
    <x v="0"/>
    <x v="14"/>
    <x v="0"/>
    <n v="102380"/>
  </r>
  <r>
    <s v="CSKU15811_3ES"/>
    <x v="2"/>
    <x v="0"/>
    <x v="0"/>
    <x v="9"/>
    <x v="4"/>
    <x v="7"/>
    <x v="177"/>
    <x v="0"/>
    <x v="14"/>
    <x v="0"/>
    <n v="105920"/>
  </r>
  <r>
    <s v="CSKU15812_3ES"/>
    <x v="2"/>
    <x v="0"/>
    <x v="0"/>
    <x v="2"/>
    <x v="1"/>
    <x v="7"/>
    <x v="177"/>
    <x v="0"/>
    <x v="14"/>
    <x v="0"/>
    <n v="115090"/>
  </r>
  <r>
    <s v="CSKU15813_3ES"/>
    <x v="2"/>
    <x v="0"/>
    <x v="0"/>
    <x v="8"/>
    <x v="1"/>
    <x v="7"/>
    <x v="177"/>
    <x v="0"/>
    <x v="14"/>
    <x v="0"/>
    <n v="118650"/>
  </r>
  <r>
    <s v="CSKU15814_3ES"/>
    <x v="2"/>
    <x v="0"/>
    <x v="0"/>
    <x v="9"/>
    <x v="1"/>
    <x v="7"/>
    <x v="177"/>
    <x v="0"/>
    <x v="14"/>
    <x v="0"/>
    <n v="123960"/>
  </r>
  <r>
    <s v="CSKU15815_3ES"/>
    <x v="2"/>
    <x v="0"/>
    <x v="1"/>
    <x v="2"/>
    <x v="4"/>
    <x v="7"/>
    <x v="177"/>
    <x v="1"/>
    <x v="14"/>
    <x v="0"/>
    <n v="103930"/>
  </r>
  <r>
    <s v="CSKU15816_3ES"/>
    <x v="2"/>
    <x v="0"/>
    <x v="1"/>
    <x v="2"/>
    <x v="1"/>
    <x v="7"/>
    <x v="177"/>
    <x v="1"/>
    <x v="14"/>
    <x v="0"/>
    <n v="121270"/>
  </r>
  <r>
    <s v="CSKU15990_3ES"/>
    <x v="2"/>
    <x v="0"/>
    <x v="0"/>
    <x v="8"/>
    <x v="4"/>
    <x v="7"/>
    <x v="363"/>
    <x v="0"/>
    <x v="14"/>
    <x v="0"/>
    <n v="110980"/>
  </r>
  <r>
    <s v="CSKU15845_3ES"/>
    <x v="2"/>
    <x v="0"/>
    <x v="0"/>
    <x v="2"/>
    <x v="4"/>
    <x v="7"/>
    <x v="178"/>
    <x v="0"/>
    <x v="14"/>
    <x v="0"/>
    <n v="98820"/>
  </r>
  <r>
    <s v="CSKU15846_3ES"/>
    <x v="2"/>
    <x v="0"/>
    <x v="0"/>
    <x v="8"/>
    <x v="4"/>
    <x v="7"/>
    <x v="178"/>
    <x v="0"/>
    <x v="14"/>
    <x v="0"/>
    <n v="102380"/>
  </r>
  <r>
    <s v="CSKU15847_3ES"/>
    <x v="2"/>
    <x v="0"/>
    <x v="0"/>
    <x v="9"/>
    <x v="4"/>
    <x v="7"/>
    <x v="178"/>
    <x v="0"/>
    <x v="14"/>
    <x v="0"/>
    <n v="105920"/>
  </r>
  <r>
    <s v="CSKU15953_3ES"/>
    <x v="2"/>
    <x v="0"/>
    <x v="0"/>
    <x v="2"/>
    <x v="4"/>
    <x v="7"/>
    <x v="362"/>
    <x v="0"/>
    <x v="14"/>
    <x v="0"/>
    <n v="90220"/>
  </r>
  <r>
    <s v="CSKU15954_3ES"/>
    <x v="2"/>
    <x v="0"/>
    <x v="0"/>
    <x v="8"/>
    <x v="4"/>
    <x v="7"/>
    <x v="362"/>
    <x v="0"/>
    <x v="14"/>
    <x v="0"/>
    <n v="93780"/>
  </r>
  <r>
    <s v="CSKU15955_3ES"/>
    <x v="2"/>
    <x v="0"/>
    <x v="0"/>
    <x v="9"/>
    <x v="4"/>
    <x v="7"/>
    <x v="362"/>
    <x v="0"/>
    <x v="14"/>
    <x v="0"/>
    <n v="97320"/>
  </r>
  <r>
    <s v="CSKU15956_3ES"/>
    <x v="2"/>
    <x v="0"/>
    <x v="0"/>
    <x v="2"/>
    <x v="1"/>
    <x v="7"/>
    <x v="362"/>
    <x v="0"/>
    <x v="14"/>
    <x v="0"/>
    <n v="104110"/>
  </r>
  <r>
    <s v="CSKU15957_3ES"/>
    <x v="2"/>
    <x v="0"/>
    <x v="0"/>
    <x v="8"/>
    <x v="1"/>
    <x v="7"/>
    <x v="362"/>
    <x v="0"/>
    <x v="14"/>
    <x v="0"/>
    <n v="107670"/>
  </r>
  <r>
    <s v="CSKU15958_3ES"/>
    <x v="2"/>
    <x v="0"/>
    <x v="0"/>
    <x v="9"/>
    <x v="1"/>
    <x v="7"/>
    <x v="362"/>
    <x v="0"/>
    <x v="14"/>
    <x v="0"/>
    <n v="112980"/>
  </r>
  <r>
    <s v="CSKU15959_3ES"/>
    <x v="2"/>
    <x v="0"/>
    <x v="1"/>
    <x v="2"/>
    <x v="4"/>
    <x v="7"/>
    <x v="362"/>
    <x v="1"/>
    <x v="14"/>
    <x v="0"/>
    <n v="95330"/>
  </r>
  <r>
    <s v="CSKU15960_3ES"/>
    <x v="2"/>
    <x v="0"/>
    <x v="1"/>
    <x v="2"/>
    <x v="1"/>
    <x v="7"/>
    <x v="362"/>
    <x v="1"/>
    <x v="14"/>
    <x v="0"/>
    <n v="110290"/>
  </r>
  <r>
    <s v="CSKU15991_3ES"/>
    <x v="2"/>
    <x v="0"/>
    <x v="0"/>
    <x v="9"/>
    <x v="4"/>
    <x v="7"/>
    <x v="363"/>
    <x v="0"/>
    <x v="14"/>
    <x v="0"/>
    <n v="114520"/>
  </r>
  <r>
    <s v="CSKU15992_3ES"/>
    <x v="2"/>
    <x v="0"/>
    <x v="0"/>
    <x v="2"/>
    <x v="1"/>
    <x v="7"/>
    <x v="363"/>
    <x v="0"/>
    <x v="14"/>
    <x v="0"/>
    <n v="126070"/>
  </r>
  <r>
    <s v="CSKU15993_3ES"/>
    <x v="2"/>
    <x v="0"/>
    <x v="0"/>
    <x v="8"/>
    <x v="1"/>
    <x v="7"/>
    <x v="363"/>
    <x v="0"/>
    <x v="14"/>
    <x v="0"/>
    <n v="129630"/>
  </r>
  <r>
    <s v="CSKU15994_3ES"/>
    <x v="2"/>
    <x v="0"/>
    <x v="0"/>
    <x v="9"/>
    <x v="1"/>
    <x v="7"/>
    <x v="363"/>
    <x v="0"/>
    <x v="14"/>
    <x v="0"/>
    <n v="134940"/>
  </r>
  <r>
    <s v="CSKU15995_3ES"/>
    <x v="2"/>
    <x v="0"/>
    <x v="1"/>
    <x v="2"/>
    <x v="4"/>
    <x v="7"/>
    <x v="363"/>
    <x v="1"/>
    <x v="14"/>
    <x v="0"/>
    <n v="112530"/>
  </r>
  <r>
    <s v="CSKU15996_3ES"/>
    <x v="2"/>
    <x v="0"/>
    <x v="1"/>
    <x v="2"/>
    <x v="1"/>
    <x v="7"/>
    <x v="363"/>
    <x v="1"/>
    <x v="14"/>
    <x v="0"/>
    <n v="132250"/>
  </r>
  <r>
    <s v="CSKU15997_3ES"/>
    <x v="2"/>
    <x v="0"/>
    <x v="1"/>
    <x v="8"/>
    <x v="4"/>
    <x v="7"/>
    <x v="363"/>
    <x v="1"/>
    <x v="14"/>
    <x v="0"/>
    <n v="116510"/>
  </r>
  <r>
    <s v="CSKU15998_3ES"/>
    <x v="2"/>
    <x v="0"/>
    <x v="1"/>
    <x v="8"/>
    <x v="1"/>
    <x v="7"/>
    <x v="363"/>
    <x v="1"/>
    <x v="14"/>
    <x v="0"/>
    <n v="136220"/>
  </r>
  <r>
    <s v="CSKU15999_3ES"/>
    <x v="2"/>
    <x v="0"/>
    <x v="1"/>
    <x v="9"/>
    <x v="4"/>
    <x v="7"/>
    <x v="363"/>
    <x v="1"/>
    <x v="14"/>
    <x v="0"/>
    <n v="120480"/>
  </r>
  <r>
    <s v="CSKU15883_3ES"/>
    <x v="2"/>
    <x v="0"/>
    <x v="0"/>
    <x v="9"/>
    <x v="4"/>
    <x v="7"/>
    <x v="179"/>
    <x v="0"/>
    <x v="14"/>
    <x v="0"/>
    <n v="105920"/>
  </r>
  <r>
    <s v="CSKU15884_3ES"/>
    <x v="2"/>
    <x v="0"/>
    <x v="0"/>
    <x v="2"/>
    <x v="1"/>
    <x v="7"/>
    <x v="179"/>
    <x v="0"/>
    <x v="14"/>
    <x v="0"/>
    <n v="115090"/>
  </r>
  <r>
    <s v="CSKU15885_3ES"/>
    <x v="2"/>
    <x v="0"/>
    <x v="0"/>
    <x v="8"/>
    <x v="1"/>
    <x v="7"/>
    <x v="179"/>
    <x v="0"/>
    <x v="14"/>
    <x v="0"/>
    <n v="118650"/>
  </r>
  <r>
    <s v="CSKU15886_3ES"/>
    <x v="2"/>
    <x v="0"/>
    <x v="0"/>
    <x v="9"/>
    <x v="1"/>
    <x v="7"/>
    <x v="179"/>
    <x v="0"/>
    <x v="14"/>
    <x v="0"/>
    <n v="123960"/>
  </r>
  <r>
    <s v="CSKU15887_3ES"/>
    <x v="2"/>
    <x v="0"/>
    <x v="1"/>
    <x v="2"/>
    <x v="4"/>
    <x v="7"/>
    <x v="179"/>
    <x v="1"/>
    <x v="14"/>
    <x v="0"/>
    <n v="103930"/>
  </r>
  <r>
    <s v="CSKU15888_3ES"/>
    <x v="2"/>
    <x v="0"/>
    <x v="1"/>
    <x v="2"/>
    <x v="1"/>
    <x v="7"/>
    <x v="179"/>
    <x v="1"/>
    <x v="14"/>
    <x v="0"/>
    <n v="121270"/>
  </r>
  <r>
    <s v="CSKU15889_3ES"/>
    <x v="2"/>
    <x v="0"/>
    <x v="1"/>
    <x v="8"/>
    <x v="4"/>
    <x v="7"/>
    <x v="179"/>
    <x v="1"/>
    <x v="14"/>
    <x v="0"/>
    <n v="107910"/>
  </r>
  <r>
    <s v="CSKU15961_3ES"/>
    <x v="2"/>
    <x v="0"/>
    <x v="1"/>
    <x v="8"/>
    <x v="4"/>
    <x v="7"/>
    <x v="362"/>
    <x v="1"/>
    <x v="14"/>
    <x v="0"/>
    <n v="99310"/>
  </r>
  <r>
    <s v="CSKU15917_3ES"/>
    <x v="2"/>
    <x v="0"/>
    <x v="0"/>
    <x v="2"/>
    <x v="4"/>
    <x v="7"/>
    <x v="180"/>
    <x v="0"/>
    <x v="14"/>
    <x v="0"/>
    <n v="81620"/>
  </r>
  <r>
    <s v="CSKU15918_3ES"/>
    <x v="2"/>
    <x v="0"/>
    <x v="0"/>
    <x v="8"/>
    <x v="4"/>
    <x v="7"/>
    <x v="180"/>
    <x v="0"/>
    <x v="14"/>
    <x v="0"/>
    <n v="85180"/>
  </r>
  <r>
    <s v="CSKU15919_3ES"/>
    <x v="2"/>
    <x v="0"/>
    <x v="0"/>
    <x v="9"/>
    <x v="4"/>
    <x v="7"/>
    <x v="180"/>
    <x v="0"/>
    <x v="14"/>
    <x v="0"/>
    <n v="88720"/>
  </r>
  <r>
    <s v="CSKU15920_3ES"/>
    <x v="2"/>
    <x v="0"/>
    <x v="0"/>
    <x v="2"/>
    <x v="1"/>
    <x v="7"/>
    <x v="180"/>
    <x v="0"/>
    <x v="14"/>
    <x v="0"/>
    <n v="93130"/>
  </r>
  <r>
    <s v="CSKU15521_3ES"/>
    <x v="2"/>
    <x v="0"/>
    <x v="0"/>
    <x v="2"/>
    <x v="4"/>
    <x v="7"/>
    <x v="367"/>
    <x v="0"/>
    <x v="14"/>
    <x v="0"/>
    <n v="107420"/>
  </r>
  <r>
    <s v="CSKU15522_3ES"/>
    <x v="2"/>
    <x v="0"/>
    <x v="0"/>
    <x v="8"/>
    <x v="4"/>
    <x v="7"/>
    <x v="367"/>
    <x v="0"/>
    <x v="14"/>
    <x v="0"/>
    <n v="110980"/>
  </r>
  <r>
    <s v="CSKU15523_3ES"/>
    <x v="2"/>
    <x v="0"/>
    <x v="0"/>
    <x v="9"/>
    <x v="4"/>
    <x v="7"/>
    <x v="367"/>
    <x v="0"/>
    <x v="14"/>
    <x v="0"/>
    <n v="114520"/>
  </r>
  <r>
    <s v="CSKU15524_3ES"/>
    <x v="2"/>
    <x v="0"/>
    <x v="0"/>
    <x v="2"/>
    <x v="1"/>
    <x v="7"/>
    <x v="367"/>
    <x v="0"/>
    <x v="14"/>
    <x v="0"/>
    <n v="126070"/>
  </r>
  <r>
    <s v="CSKU15525_3ES"/>
    <x v="2"/>
    <x v="0"/>
    <x v="0"/>
    <x v="8"/>
    <x v="1"/>
    <x v="7"/>
    <x v="367"/>
    <x v="0"/>
    <x v="14"/>
    <x v="0"/>
    <n v="129630"/>
  </r>
  <r>
    <s v="CSKU15526_3ES"/>
    <x v="2"/>
    <x v="0"/>
    <x v="0"/>
    <x v="9"/>
    <x v="1"/>
    <x v="7"/>
    <x v="367"/>
    <x v="0"/>
    <x v="14"/>
    <x v="0"/>
    <n v="134940"/>
  </r>
  <r>
    <s v="CSKU15598_3ES"/>
    <x v="2"/>
    <x v="0"/>
    <x v="0"/>
    <x v="9"/>
    <x v="1"/>
    <x v="7"/>
    <x v="368"/>
    <x v="0"/>
    <x v="14"/>
    <x v="0"/>
    <n v="118470"/>
  </r>
  <r>
    <s v="CSKU15599_3ES"/>
    <x v="2"/>
    <x v="0"/>
    <x v="1"/>
    <x v="2"/>
    <x v="4"/>
    <x v="7"/>
    <x v="368"/>
    <x v="1"/>
    <x v="14"/>
    <x v="0"/>
    <n v="99630"/>
  </r>
  <r>
    <s v="CSKU15600_3ES"/>
    <x v="2"/>
    <x v="0"/>
    <x v="1"/>
    <x v="2"/>
    <x v="1"/>
    <x v="7"/>
    <x v="368"/>
    <x v="1"/>
    <x v="14"/>
    <x v="0"/>
    <n v="115780"/>
  </r>
  <r>
    <s v="CSKU15601_3ES"/>
    <x v="2"/>
    <x v="0"/>
    <x v="1"/>
    <x v="8"/>
    <x v="4"/>
    <x v="7"/>
    <x v="368"/>
    <x v="1"/>
    <x v="14"/>
    <x v="0"/>
    <n v="103610"/>
  </r>
  <r>
    <s v="CSKU15602_3ES"/>
    <x v="2"/>
    <x v="0"/>
    <x v="1"/>
    <x v="8"/>
    <x v="1"/>
    <x v="7"/>
    <x v="368"/>
    <x v="1"/>
    <x v="14"/>
    <x v="0"/>
    <n v="119750"/>
  </r>
  <r>
    <s v="CSKU15603_3ES"/>
    <x v="2"/>
    <x v="0"/>
    <x v="1"/>
    <x v="9"/>
    <x v="4"/>
    <x v="7"/>
    <x v="368"/>
    <x v="1"/>
    <x v="14"/>
    <x v="0"/>
    <n v="107580"/>
  </r>
  <r>
    <s v="CSKU15604_3ES"/>
    <x v="2"/>
    <x v="0"/>
    <x v="1"/>
    <x v="9"/>
    <x v="1"/>
    <x v="7"/>
    <x v="368"/>
    <x v="1"/>
    <x v="14"/>
    <x v="0"/>
    <n v="125710"/>
  </r>
  <r>
    <s v="CSKU15633_3ES"/>
    <x v="2"/>
    <x v="0"/>
    <x v="0"/>
    <x v="8"/>
    <x v="1"/>
    <x v="7"/>
    <x v="366"/>
    <x v="0"/>
    <x v="14"/>
    <x v="0"/>
    <n v="118650"/>
  </r>
  <r>
    <s v="CSKU15634_3ES"/>
    <x v="2"/>
    <x v="0"/>
    <x v="0"/>
    <x v="9"/>
    <x v="1"/>
    <x v="7"/>
    <x v="366"/>
    <x v="0"/>
    <x v="14"/>
    <x v="0"/>
    <n v="123960"/>
  </r>
  <r>
    <s v="CSKU15635_3ES"/>
    <x v="2"/>
    <x v="0"/>
    <x v="1"/>
    <x v="2"/>
    <x v="4"/>
    <x v="7"/>
    <x v="366"/>
    <x v="1"/>
    <x v="14"/>
    <x v="0"/>
    <n v="103930"/>
  </r>
  <r>
    <s v="CSKU15636_3ES"/>
    <x v="2"/>
    <x v="0"/>
    <x v="1"/>
    <x v="2"/>
    <x v="1"/>
    <x v="7"/>
    <x v="366"/>
    <x v="1"/>
    <x v="14"/>
    <x v="0"/>
    <n v="121270"/>
  </r>
  <r>
    <s v="CSKU15637_3ES"/>
    <x v="2"/>
    <x v="0"/>
    <x v="1"/>
    <x v="8"/>
    <x v="4"/>
    <x v="7"/>
    <x v="366"/>
    <x v="1"/>
    <x v="14"/>
    <x v="0"/>
    <n v="107910"/>
  </r>
  <r>
    <s v="CSKU15638_3ES"/>
    <x v="2"/>
    <x v="0"/>
    <x v="1"/>
    <x v="8"/>
    <x v="1"/>
    <x v="7"/>
    <x v="366"/>
    <x v="1"/>
    <x v="14"/>
    <x v="0"/>
    <n v="125240"/>
  </r>
  <r>
    <s v="CSKU15665_3ES"/>
    <x v="2"/>
    <x v="0"/>
    <x v="0"/>
    <x v="2"/>
    <x v="4"/>
    <x v="7"/>
    <x v="369"/>
    <x v="0"/>
    <x v="14"/>
    <x v="0"/>
    <n v="98820"/>
  </r>
  <r>
    <s v="CSKU15593_3ES"/>
    <x v="2"/>
    <x v="0"/>
    <x v="0"/>
    <x v="2"/>
    <x v="4"/>
    <x v="7"/>
    <x v="368"/>
    <x v="0"/>
    <x v="14"/>
    <x v="0"/>
    <n v="94520"/>
  </r>
  <r>
    <s v="CSKU15594_3ES"/>
    <x v="2"/>
    <x v="0"/>
    <x v="0"/>
    <x v="8"/>
    <x v="4"/>
    <x v="7"/>
    <x v="368"/>
    <x v="0"/>
    <x v="14"/>
    <x v="0"/>
    <n v="98080"/>
  </r>
  <r>
    <s v="CSKU15595_3ES"/>
    <x v="2"/>
    <x v="0"/>
    <x v="0"/>
    <x v="9"/>
    <x v="4"/>
    <x v="7"/>
    <x v="368"/>
    <x v="0"/>
    <x v="14"/>
    <x v="0"/>
    <n v="101620"/>
  </r>
  <r>
    <s v="CSKU15596_3ES"/>
    <x v="2"/>
    <x v="0"/>
    <x v="0"/>
    <x v="2"/>
    <x v="1"/>
    <x v="7"/>
    <x v="368"/>
    <x v="0"/>
    <x v="14"/>
    <x v="0"/>
    <n v="109600"/>
  </r>
  <r>
    <s v="CSKU15597_3ES"/>
    <x v="2"/>
    <x v="0"/>
    <x v="0"/>
    <x v="8"/>
    <x v="1"/>
    <x v="7"/>
    <x v="368"/>
    <x v="0"/>
    <x v="14"/>
    <x v="0"/>
    <n v="113160"/>
  </r>
  <r>
    <s v="CSKU15639_3ES"/>
    <x v="2"/>
    <x v="0"/>
    <x v="1"/>
    <x v="9"/>
    <x v="4"/>
    <x v="7"/>
    <x v="366"/>
    <x v="1"/>
    <x v="14"/>
    <x v="0"/>
    <n v="111880"/>
  </r>
  <r>
    <s v="CSKU15640_3ES"/>
    <x v="2"/>
    <x v="0"/>
    <x v="1"/>
    <x v="9"/>
    <x v="1"/>
    <x v="7"/>
    <x v="366"/>
    <x v="1"/>
    <x v="14"/>
    <x v="0"/>
    <n v="131200"/>
  </r>
  <r>
    <s v="CSKU15666_3ES"/>
    <x v="2"/>
    <x v="0"/>
    <x v="0"/>
    <x v="8"/>
    <x v="4"/>
    <x v="7"/>
    <x v="369"/>
    <x v="0"/>
    <x v="14"/>
    <x v="0"/>
    <n v="102380"/>
  </r>
  <r>
    <s v="CSKU15667_3ES"/>
    <x v="2"/>
    <x v="0"/>
    <x v="0"/>
    <x v="9"/>
    <x v="4"/>
    <x v="7"/>
    <x v="369"/>
    <x v="0"/>
    <x v="14"/>
    <x v="0"/>
    <n v="105920"/>
  </r>
  <r>
    <s v="CSKU15668_3ES"/>
    <x v="2"/>
    <x v="0"/>
    <x v="0"/>
    <x v="2"/>
    <x v="1"/>
    <x v="7"/>
    <x v="369"/>
    <x v="0"/>
    <x v="14"/>
    <x v="0"/>
    <n v="115090"/>
  </r>
  <r>
    <s v="CSKU15669_3ES"/>
    <x v="2"/>
    <x v="0"/>
    <x v="0"/>
    <x v="8"/>
    <x v="1"/>
    <x v="7"/>
    <x v="369"/>
    <x v="0"/>
    <x v="14"/>
    <x v="0"/>
    <n v="118650"/>
  </r>
  <r>
    <s v="CSKU15670_3ES"/>
    <x v="2"/>
    <x v="0"/>
    <x v="0"/>
    <x v="9"/>
    <x v="1"/>
    <x v="7"/>
    <x v="369"/>
    <x v="0"/>
    <x v="14"/>
    <x v="0"/>
    <n v="123960"/>
  </r>
  <r>
    <s v="CSKU15671_3ES"/>
    <x v="2"/>
    <x v="0"/>
    <x v="1"/>
    <x v="2"/>
    <x v="4"/>
    <x v="7"/>
    <x v="369"/>
    <x v="1"/>
    <x v="14"/>
    <x v="0"/>
    <n v="103930"/>
  </r>
  <r>
    <s v="CSKU15672_3ES"/>
    <x v="2"/>
    <x v="0"/>
    <x v="1"/>
    <x v="2"/>
    <x v="1"/>
    <x v="7"/>
    <x v="369"/>
    <x v="1"/>
    <x v="14"/>
    <x v="0"/>
    <n v="121270"/>
  </r>
  <r>
    <s v="CSKU15673_3ES"/>
    <x v="2"/>
    <x v="0"/>
    <x v="1"/>
    <x v="8"/>
    <x v="4"/>
    <x v="7"/>
    <x v="369"/>
    <x v="1"/>
    <x v="14"/>
    <x v="0"/>
    <n v="107910"/>
  </r>
  <r>
    <s v="CSKU15674_3ES"/>
    <x v="2"/>
    <x v="0"/>
    <x v="1"/>
    <x v="8"/>
    <x v="1"/>
    <x v="7"/>
    <x v="369"/>
    <x v="1"/>
    <x v="14"/>
    <x v="0"/>
    <n v="125240"/>
  </r>
  <r>
    <s v="CSKU15675_3ES"/>
    <x v="2"/>
    <x v="0"/>
    <x v="1"/>
    <x v="9"/>
    <x v="4"/>
    <x v="7"/>
    <x v="369"/>
    <x v="1"/>
    <x v="14"/>
    <x v="0"/>
    <n v="111880"/>
  </r>
  <r>
    <s v="CSKU15701_3ES"/>
    <x v="2"/>
    <x v="0"/>
    <x v="0"/>
    <x v="2"/>
    <x v="4"/>
    <x v="7"/>
    <x v="370"/>
    <x v="0"/>
    <x v="14"/>
    <x v="0"/>
    <n v="76940"/>
  </r>
  <r>
    <s v="CSKU15702_3ES"/>
    <x v="2"/>
    <x v="0"/>
    <x v="0"/>
    <x v="8"/>
    <x v="4"/>
    <x v="7"/>
    <x v="370"/>
    <x v="0"/>
    <x v="14"/>
    <x v="0"/>
    <n v="80500"/>
  </r>
  <r>
    <s v="CSKU15703_3ES"/>
    <x v="2"/>
    <x v="0"/>
    <x v="0"/>
    <x v="9"/>
    <x v="4"/>
    <x v="7"/>
    <x v="370"/>
    <x v="0"/>
    <x v="14"/>
    <x v="0"/>
    <n v="84040"/>
  </r>
  <r>
    <s v="CSKU15704_3ES"/>
    <x v="2"/>
    <x v="0"/>
    <x v="0"/>
    <x v="2"/>
    <x v="1"/>
    <x v="7"/>
    <x v="370"/>
    <x v="0"/>
    <x v="14"/>
    <x v="0"/>
    <n v="87890"/>
  </r>
  <r>
    <s v="CSKU15676_3ES"/>
    <x v="2"/>
    <x v="0"/>
    <x v="1"/>
    <x v="9"/>
    <x v="1"/>
    <x v="7"/>
    <x v="369"/>
    <x v="1"/>
    <x v="14"/>
    <x v="0"/>
    <n v="131200"/>
  </r>
  <r>
    <s v="CSKU15705_3ES"/>
    <x v="2"/>
    <x v="0"/>
    <x v="0"/>
    <x v="8"/>
    <x v="1"/>
    <x v="7"/>
    <x v="370"/>
    <x v="0"/>
    <x v="14"/>
    <x v="0"/>
    <n v="91450"/>
  </r>
  <r>
    <s v="CSKU15881_3ES"/>
    <x v="2"/>
    <x v="0"/>
    <x v="0"/>
    <x v="2"/>
    <x v="4"/>
    <x v="7"/>
    <x v="179"/>
    <x v="0"/>
    <x v="14"/>
    <x v="0"/>
    <n v="98820"/>
  </r>
  <r>
    <s v="CSKU15882_3ES"/>
    <x v="2"/>
    <x v="0"/>
    <x v="0"/>
    <x v="8"/>
    <x v="4"/>
    <x v="7"/>
    <x v="179"/>
    <x v="0"/>
    <x v="14"/>
    <x v="0"/>
    <n v="102380"/>
  </r>
  <r>
    <s v="CSKU15706_3ES"/>
    <x v="2"/>
    <x v="0"/>
    <x v="0"/>
    <x v="9"/>
    <x v="1"/>
    <x v="7"/>
    <x v="370"/>
    <x v="0"/>
    <x v="14"/>
    <x v="0"/>
    <n v="96760"/>
  </r>
  <r>
    <s v="CSKU15707_3ES"/>
    <x v="2"/>
    <x v="0"/>
    <x v="1"/>
    <x v="2"/>
    <x v="4"/>
    <x v="7"/>
    <x v="370"/>
    <x v="1"/>
    <x v="14"/>
    <x v="0"/>
    <n v="82050"/>
  </r>
  <r>
    <s v="CSKU15708_3ES"/>
    <x v="2"/>
    <x v="0"/>
    <x v="1"/>
    <x v="2"/>
    <x v="1"/>
    <x v="7"/>
    <x v="370"/>
    <x v="1"/>
    <x v="14"/>
    <x v="0"/>
    <n v="94070"/>
  </r>
  <r>
    <s v="CSKU15709_3ES"/>
    <x v="2"/>
    <x v="0"/>
    <x v="1"/>
    <x v="8"/>
    <x v="4"/>
    <x v="7"/>
    <x v="370"/>
    <x v="1"/>
    <x v="14"/>
    <x v="0"/>
    <n v="86030"/>
  </r>
  <r>
    <s v="CSKU15710_3ES"/>
    <x v="2"/>
    <x v="0"/>
    <x v="1"/>
    <x v="8"/>
    <x v="1"/>
    <x v="7"/>
    <x v="370"/>
    <x v="1"/>
    <x v="14"/>
    <x v="0"/>
    <n v="98040"/>
  </r>
  <r>
    <s v="CSKU15711_3ES"/>
    <x v="2"/>
    <x v="0"/>
    <x v="1"/>
    <x v="9"/>
    <x v="4"/>
    <x v="7"/>
    <x v="370"/>
    <x v="1"/>
    <x v="14"/>
    <x v="0"/>
    <n v="90000"/>
  </r>
  <r>
    <s v="CSKU15712_3ES"/>
    <x v="2"/>
    <x v="0"/>
    <x v="1"/>
    <x v="9"/>
    <x v="1"/>
    <x v="7"/>
    <x v="370"/>
    <x v="1"/>
    <x v="14"/>
    <x v="0"/>
    <n v="104000"/>
  </r>
  <r>
    <s v="CSKU15413_3ES"/>
    <x v="2"/>
    <x v="0"/>
    <x v="0"/>
    <x v="2"/>
    <x v="4"/>
    <x v="7"/>
    <x v="371"/>
    <x v="0"/>
    <x v="14"/>
    <x v="0"/>
    <n v="94520"/>
  </r>
  <r>
    <s v="CSKU15414_3ES"/>
    <x v="2"/>
    <x v="0"/>
    <x v="0"/>
    <x v="8"/>
    <x v="4"/>
    <x v="7"/>
    <x v="371"/>
    <x v="0"/>
    <x v="14"/>
    <x v="0"/>
    <n v="98080"/>
  </r>
  <r>
    <s v="CSKU15415_3ES"/>
    <x v="2"/>
    <x v="0"/>
    <x v="0"/>
    <x v="9"/>
    <x v="4"/>
    <x v="7"/>
    <x v="371"/>
    <x v="0"/>
    <x v="14"/>
    <x v="0"/>
    <n v="101620"/>
  </r>
  <r>
    <s v="CSKU15416_3ES"/>
    <x v="2"/>
    <x v="0"/>
    <x v="0"/>
    <x v="2"/>
    <x v="1"/>
    <x v="7"/>
    <x v="371"/>
    <x v="0"/>
    <x v="14"/>
    <x v="0"/>
    <n v="109600"/>
  </r>
  <r>
    <s v="CSKU15417_3ES"/>
    <x v="2"/>
    <x v="0"/>
    <x v="0"/>
    <x v="8"/>
    <x v="1"/>
    <x v="7"/>
    <x v="371"/>
    <x v="0"/>
    <x v="14"/>
    <x v="0"/>
    <n v="113160"/>
  </r>
  <r>
    <s v="CSKU15737_3ES"/>
    <x v="2"/>
    <x v="0"/>
    <x v="0"/>
    <x v="2"/>
    <x v="4"/>
    <x v="7"/>
    <x v="372"/>
    <x v="0"/>
    <x v="14"/>
    <x v="0"/>
    <n v="66300"/>
  </r>
  <r>
    <s v="CSKU15738_3ES"/>
    <x v="2"/>
    <x v="0"/>
    <x v="0"/>
    <x v="2"/>
    <x v="1"/>
    <x v="7"/>
    <x v="372"/>
    <x v="0"/>
    <x v="14"/>
    <x v="0"/>
    <n v="76050"/>
  </r>
  <r>
    <s v="CSKU15739_3ES"/>
    <x v="2"/>
    <x v="0"/>
    <x v="0"/>
    <x v="8"/>
    <x v="4"/>
    <x v="7"/>
    <x v="372"/>
    <x v="0"/>
    <x v="14"/>
    <x v="0"/>
    <n v="69860"/>
  </r>
  <r>
    <s v="CSKU15740_3ES"/>
    <x v="2"/>
    <x v="0"/>
    <x v="0"/>
    <x v="8"/>
    <x v="1"/>
    <x v="7"/>
    <x v="372"/>
    <x v="0"/>
    <x v="14"/>
    <x v="0"/>
    <n v="79610"/>
  </r>
  <r>
    <s v="CSKU15741_3ES"/>
    <x v="2"/>
    <x v="0"/>
    <x v="0"/>
    <x v="9"/>
    <x v="4"/>
    <x v="7"/>
    <x v="372"/>
    <x v="0"/>
    <x v="14"/>
    <x v="0"/>
    <n v="73400"/>
  </r>
  <r>
    <s v="CSKU15742_3ES"/>
    <x v="2"/>
    <x v="0"/>
    <x v="0"/>
    <x v="9"/>
    <x v="1"/>
    <x v="7"/>
    <x v="372"/>
    <x v="0"/>
    <x v="14"/>
    <x v="0"/>
    <n v="84920"/>
  </r>
  <r>
    <s v="CSKU15743_3ES"/>
    <x v="2"/>
    <x v="0"/>
    <x v="1"/>
    <x v="2"/>
    <x v="4"/>
    <x v="7"/>
    <x v="372"/>
    <x v="1"/>
    <x v="14"/>
    <x v="0"/>
    <n v="72690"/>
  </r>
  <r>
    <s v="CSKU15744_3ES"/>
    <x v="2"/>
    <x v="0"/>
    <x v="1"/>
    <x v="2"/>
    <x v="1"/>
    <x v="7"/>
    <x v="372"/>
    <x v="1"/>
    <x v="14"/>
    <x v="0"/>
    <n v="83510"/>
  </r>
  <r>
    <s v="CSKU15745_3ES"/>
    <x v="2"/>
    <x v="0"/>
    <x v="1"/>
    <x v="8"/>
    <x v="4"/>
    <x v="7"/>
    <x v="372"/>
    <x v="1"/>
    <x v="14"/>
    <x v="0"/>
    <n v="76670"/>
  </r>
  <r>
    <s v="CSKU15746_3ES"/>
    <x v="2"/>
    <x v="0"/>
    <x v="1"/>
    <x v="8"/>
    <x v="1"/>
    <x v="7"/>
    <x v="372"/>
    <x v="1"/>
    <x v="14"/>
    <x v="0"/>
    <n v="87480"/>
  </r>
  <r>
    <s v="CSKU15747_3ES"/>
    <x v="2"/>
    <x v="0"/>
    <x v="1"/>
    <x v="9"/>
    <x v="4"/>
    <x v="7"/>
    <x v="372"/>
    <x v="1"/>
    <x v="14"/>
    <x v="0"/>
    <n v="80640"/>
  </r>
  <r>
    <s v="CSKU15527_3ES"/>
    <x v="2"/>
    <x v="0"/>
    <x v="1"/>
    <x v="2"/>
    <x v="4"/>
    <x v="7"/>
    <x v="367"/>
    <x v="1"/>
    <x v="14"/>
    <x v="0"/>
    <n v="112530"/>
  </r>
  <r>
    <s v="CSKU15491_3ES"/>
    <x v="2"/>
    <x v="0"/>
    <x v="1"/>
    <x v="2"/>
    <x v="4"/>
    <x v="7"/>
    <x v="175"/>
    <x v="1"/>
    <x v="14"/>
    <x v="0"/>
    <n v="89100"/>
  </r>
  <r>
    <s v="CSKU15492_3ES"/>
    <x v="2"/>
    <x v="0"/>
    <x v="1"/>
    <x v="2"/>
    <x v="1"/>
    <x v="7"/>
    <x v="175"/>
    <x v="1"/>
    <x v="14"/>
    <x v="0"/>
    <n v="103930"/>
  </r>
  <r>
    <s v="CSKU15493_3ES"/>
    <x v="2"/>
    <x v="0"/>
    <x v="1"/>
    <x v="8"/>
    <x v="4"/>
    <x v="7"/>
    <x v="175"/>
    <x v="1"/>
    <x v="14"/>
    <x v="0"/>
    <n v="93080"/>
  </r>
  <r>
    <s v="CSKU15494_3ES"/>
    <x v="2"/>
    <x v="0"/>
    <x v="1"/>
    <x v="8"/>
    <x v="1"/>
    <x v="7"/>
    <x v="175"/>
    <x v="1"/>
    <x v="14"/>
    <x v="0"/>
    <n v="107900"/>
  </r>
  <r>
    <s v="CSKU15495_3ES"/>
    <x v="2"/>
    <x v="0"/>
    <x v="1"/>
    <x v="9"/>
    <x v="4"/>
    <x v="7"/>
    <x v="175"/>
    <x v="1"/>
    <x v="14"/>
    <x v="0"/>
    <n v="97050"/>
  </r>
  <r>
    <s v="CSKU15496_3ES"/>
    <x v="2"/>
    <x v="0"/>
    <x v="1"/>
    <x v="9"/>
    <x v="1"/>
    <x v="7"/>
    <x v="175"/>
    <x v="1"/>
    <x v="14"/>
    <x v="0"/>
    <n v="113860"/>
  </r>
  <r>
    <s v="CSKU15528_3ES"/>
    <x v="2"/>
    <x v="0"/>
    <x v="1"/>
    <x v="2"/>
    <x v="1"/>
    <x v="7"/>
    <x v="367"/>
    <x v="1"/>
    <x v="14"/>
    <x v="0"/>
    <n v="132250"/>
  </r>
  <r>
    <s v="CSKU15529_3ES"/>
    <x v="2"/>
    <x v="0"/>
    <x v="1"/>
    <x v="8"/>
    <x v="4"/>
    <x v="7"/>
    <x v="367"/>
    <x v="1"/>
    <x v="14"/>
    <x v="0"/>
    <n v="116510"/>
  </r>
  <r>
    <s v="CSKU15530_3ES"/>
    <x v="2"/>
    <x v="0"/>
    <x v="1"/>
    <x v="8"/>
    <x v="1"/>
    <x v="7"/>
    <x v="367"/>
    <x v="1"/>
    <x v="14"/>
    <x v="0"/>
    <n v="136220"/>
  </r>
  <r>
    <s v="CSKU15531_3ES"/>
    <x v="2"/>
    <x v="0"/>
    <x v="1"/>
    <x v="9"/>
    <x v="4"/>
    <x v="7"/>
    <x v="367"/>
    <x v="1"/>
    <x v="14"/>
    <x v="0"/>
    <n v="120480"/>
  </r>
  <r>
    <s v="CSKU15532_3ES"/>
    <x v="2"/>
    <x v="0"/>
    <x v="1"/>
    <x v="9"/>
    <x v="1"/>
    <x v="7"/>
    <x v="367"/>
    <x v="1"/>
    <x v="14"/>
    <x v="0"/>
    <n v="142180"/>
  </r>
  <r>
    <s v="CSKU15561_3ES"/>
    <x v="2"/>
    <x v="0"/>
    <x v="0"/>
    <x v="8"/>
    <x v="1"/>
    <x v="7"/>
    <x v="176"/>
    <x v="0"/>
    <x v="14"/>
    <x v="0"/>
    <n v="129630"/>
  </r>
  <r>
    <s v="CSKU15562_3ES"/>
    <x v="2"/>
    <x v="0"/>
    <x v="0"/>
    <x v="9"/>
    <x v="1"/>
    <x v="7"/>
    <x v="176"/>
    <x v="0"/>
    <x v="14"/>
    <x v="0"/>
    <n v="134940"/>
  </r>
  <r>
    <s v="CSKU15563_3ES"/>
    <x v="2"/>
    <x v="0"/>
    <x v="1"/>
    <x v="2"/>
    <x v="4"/>
    <x v="7"/>
    <x v="176"/>
    <x v="1"/>
    <x v="14"/>
    <x v="0"/>
    <n v="112530"/>
  </r>
  <r>
    <s v="CSKU15564_3ES"/>
    <x v="2"/>
    <x v="0"/>
    <x v="1"/>
    <x v="2"/>
    <x v="1"/>
    <x v="7"/>
    <x v="176"/>
    <x v="1"/>
    <x v="14"/>
    <x v="0"/>
    <n v="132250"/>
  </r>
  <r>
    <s v="CSKU15565_3ES"/>
    <x v="2"/>
    <x v="0"/>
    <x v="1"/>
    <x v="8"/>
    <x v="4"/>
    <x v="7"/>
    <x v="176"/>
    <x v="1"/>
    <x v="14"/>
    <x v="0"/>
    <n v="116510"/>
  </r>
  <r>
    <s v="CSKU15566_3ES"/>
    <x v="2"/>
    <x v="0"/>
    <x v="1"/>
    <x v="8"/>
    <x v="1"/>
    <x v="7"/>
    <x v="176"/>
    <x v="1"/>
    <x v="14"/>
    <x v="0"/>
    <n v="136220"/>
  </r>
  <r>
    <s v="CSKU15567_3ES"/>
    <x v="2"/>
    <x v="0"/>
    <x v="1"/>
    <x v="9"/>
    <x v="4"/>
    <x v="7"/>
    <x v="176"/>
    <x v="1"/>
    <x v="14"/>
    <x v="0"/>
    <n v="120480"/>
  </r>
  <r>
    <s v="CSKU15557_3ES"/>
    <x v="2"/>
    <x v="0"/>
    <x v="0"/>
    <x v="2"/>
    <x v="4"/>
    <x v="7"/>
    <x v="176"/>
    <x v="0"/>
    <x v="14"/>
    <x v="0"/>
    <n v="107420"/>
  </r>
  <r>
    <s v="CSKU15558_3ES"/>
    <x v="2"/>
    <x v="0"/>
    <x v="0"/>
    <x v="8"/>
    <x v="4"/>
    <x v="7"/>
    <x v="176"/>
    <x v="0"/>
    <x v="14"/>
    <x v="0"/>
    <n v="110980"/>
  </r>
  <r>
    <s v="CSKU15559_3ES"/>
    <x v="2"/>
    <x v="0"/>
    <x v="0"/>
    <x v="9"/>
    <x v="4"/>
    <x v="7"/>
    <x v="176"/>
    <x v="0"/>
    <x v="14"/>
    <x v="0"/>
    <n v="114520"/>
  </r>
  <r>
    <s v="CSKU15560_3ES"/>
    <x v="2"/>
    <x v="0"/>
    <x v="0"/>
    <x v="2"/>
    <x v="1"/>
    <x v="7"/>
    <x v="176"/>
    <x v="0"/>
    <x v="14"/>
    <x v="0"/>
    <n v="126070"/>
  </r>
  <r>
    <s v="CSKU15170_3ES"/>
    <x v="2"/>
    <x v="0"/>
    <x v="1"/>
    <x v="8"/>
    <x v="1"/>
    <x v="7"/>
    <x v="172"/>
    <x v="1"/>
    <x v="14"/>
    <x v="0"/>
    <n v="136220"/>
  </r>
  <r>
    <s v="CSKU15171_3ES"/>
    <x v="2"/>
    <x v="0"/>
    <x v="1"/>
    <x v="9"/>
    <x v="4"/>
    <x v="7"/>
    <x v="172"/>
    <x v="1"/>
    <x v="14"/>
    <x v="0"/>
    <n v="120480"/>
  </r>
  <r>
    <s v="CSKU15172_3ES"/>
    <x v="2"/>
    <x v="0"/>
    <x v="1"/>
    <x v="9"/>
    <x v="1"/>
    <x v="7"/>
    <x v="172"/>
    <x v="1"/>
    <x v="14"/>
    <x v="0"/>
    <n v="142180"/>
  </r>
  <r>
    <s v="CSKU15748_3ES"/>
    <x v="2"/>
    <x v="0"/>
    <x v="1"/>
    <x v="9"/>
    <x v="1"/>
    <x v="7"/>
    <x v="372"/>
    <x v="1"/>
    <x v="14"/>
    <x v="0"/>
    <n v="93440"/>
  </r>
  <r>
    <s v="CSKU15418_3ES"/>
    <x v="2"/>
    <x v="0"/>
    <x v="0"/>
    <x v="9"/>
    <x v="1"/>
    <x v="7"/>
    <x v="371"/>
    <x v="0"/>
    <x v="14"/>
    <x v="0"/>
    <n v="118470"/>
  </r>
  <r>
    <s v="CSKU15208_3ES"/>
    <x v="2"/>
    <x v="0"/>
    <x v="1"/>
    <x v="9"/>
    <x v="1"/>
    <x v="7"/>
    <x v="173"/>
    <x v="1"/>
    <x v="14"/>
    <x v="0"/>
    <n v="125710"/>
  </r>
  <r>
    <s v="CSKU15238_3ES"/>
    <x v="2"/>
    <x v="0"/>
    <x v="0"/>
    <x v="9"/>
    <x v="1"/>
    <x v="7"/>
    <x v="174"/>
    <x v="0"/>
    <x v="14"/>
    <x v="0"/>
    <n v="118470"/>
  </r>
  <r>
    <s v="CSKU15239_3ES"/>
    <x v="2"/>
    <x v="0"/>
    <x v="1"/>
    <x v="2"/>
    <x v="4"/>
    <x v="7"/>
    <x v="174"/>
    <x v="1"/>
    <x v="14"/>
    <x v="0"/>
    <n v="99630"/>
  </r>
  <r>
    <s v="CSKU15240_3ES"/>
    <x v="2"/>
    <x v="0"/>
    <x v="1"/>
    <x v="2"/>
    <x v="1"/>
    <x v="7"/>
    <x v="174"/>
    <x v="1"/>
    <x v="14"/>
    <x v="0"/>
    <n v="115780"/>
  </r>
  <r>
    <s v="CSKU15241_3ES"/>
    <x v="2"/>
    <x v="0"/>
    <x v="1"/>
    <x v="8"/>
    <x v="4"/>
    <x v="7"/>
    <x v="174"/>
    <x v="1"/>
    <x v="14"/>
    <x v="0"/>
    <n v="103610"/>
  </r>
  <r>
    <s v="CSKU15242_3ES"/>
    <x v="2"/>
    <x v="0"/>
    <x v="1"/>
    <x v="8"/>
    <x v="1"/>
    <x v="7"/>
    <x v="174"/>
    <x v="1"/>
    <x v="14"/>
    <x v="0"/>
    <n v="119750"/>
  </r>
  <r>
    <s v="CSKU15243_3ES"/>
    <x v="2"/>
    <x v="0"/>
    <x v="1"/>
    <x v="9"/>
    <x v="4"/>
    <x v="7"/>
    <x v="174"/>
    <x v="1"/>
    <x v="14"/>
    <x v="0"/>
    <n v="107580"/>
  </r>
  <r>
    <s v="CSKU15244_3ES"/>
    <x v="2"/>
    <x v="0"/>
    <x v="1"/>
    <x v="9"/>
    <x v="1"/>
    <x v="7"/>
    <x v="174"/>
    <x v="1"/>
    <x v="14"/>
    <x v="0"/>
    <n v="125710"/>
  </r>
  <r>
    <s v="CSKU15269_3ES"/>
    <x v="2"/>
    <x v="0"/>
    <x v="0"/>
    <x v="2"/>
    <x v="4"/>
    <x v="7"/>
    <x v="373"/>
    <x v="0"/>
    <x v="14"/>
    <x v="0"/>
    <n v="78110"/>
  </r>
  <r>
    <s v="CSKU15270_3ES"/>
    <x v="2"/>
    <x v="0"/>
    <x v="0"/>
    <x v="8"/>
    <x v="4"/>
    <x v="7"/>
    <x v="373"/>
    <x v="0"/>
    <x v="14"/>
    <x v="0"/>
    <n v="81670"/>
  </r>
  <r>
    <s v="CSKU15271_3ES"/>
    <x v="2"/>
    <x v="0"/>
    <x v="0"/>
    <x v="9"/>
    <x v="4"/>
    <x v="7"/>
    <x v="373"/>
    <x v="0"/>
    <x v="14"/>
    <x v="0"/>
    <n v="85210"/>
  </r>
  <r>
    <s v="CSKU15272_3ES"/>
    <x v="2"/>
    <x v="0"/>
    <x v="0"/>
    <x v="2"/>
    <x v="1"/>
    <x v="7"/>
    <x v="373"/>
    <x v="0"/>
    <x v="14"/>
    <x v="0"/>
    <n v="89200"/>
  </r>
  <r>
    <s v="CSKU15273_3ES"/>
    <x v="2"/>
    <x v="0"/>
    <x v="0"/>
    <x v="8"/>
    <x v="1"/>
    <x v="7"/>
    <x v="373"/>
    <x v="0"/>
    <x v="14"/>
    <x v="0"/>
    <n v="92760"/>
  </r>
  <r>
    <s v="CSKU15274_3ES"/>
    <x v="2"/>
    <x v="0"/>
    <x v="0"/>
    <x v="9"/>
    <x v="1"/>
    <x v="7"/>
    <x v="373"/>
    <x v="0"/>
    <x v="14"/>
    <x v="0"/>
    <n v="98070"/>
  </r>
  <r>
    <s v="CSKU15275_3ES"/>
    <x v="2"/>
    <x v="0"/>
    <x v="1"/>
    <x v="2"/>
    <x v="4"/>
    <x v="7"/>
    <x v="373"/>
    <x v="1"/>
    <x v="14"/>
    <x v="0"/>
    <n v="83220"/>
  </r>
  <r>
    <s v="CSKU15305_3ES"/>
    <x v="2"/>
    <x v="0"/>
    <x v="0"/>
    <x v="2"/>
    <x v="4"/>
    <x v="7"/>
    <x v="374"/>
    <x v="0"/>
    <x v="14"/>
    <x v="0"/>
    <n v="70130"/>
  </r>
  <r>
    <s v="CSKU15306_3ES"/>
    <x v="2"/>
    <x v="0"/>
    <x v="0"/>
    <x v="8"/>
    <x v="4"/>
    <x v="7"/>
    <x v="374"/>
    <x v="0"/>
    <x v="14"/>
    <x v="0"/>
    <n v="73690"/>
  </r>
  <r>
    <s v="CSKU15307_3ES"/>
    <x v="2"/>
    <x v="0"/>
    <x v="0"/>
    <x v="9"/>
    <x v="4"/>
    <x v="7"/>
    <x v="374"/>
    <x v="0"/>
    <x v="14"/>
    <x v="0"/>
    <n v="77230"/>
  </r>
  <r>
    <s v="CSKU15308_3ES"/>
    <x v="2"/>
    <x v="0"/>
    <x v="0"/>
    <x v="2"/>
    <x v="1"/>
    <x v="7"/>
    <x v="374"/>
    <x v="0"/>
    <x v="14"/>
    <x v="0"/>
    <n v="80320"/>
  </r>
  <r>
    <s v="CSKU15341_3ES"/>
    <x v="2"/>
    <x v="0"/>
    <x v="0"/>
    <x v="2"/>
    <x v="4"/>
    <x v="7"/>
    <x v="375"/>
    <x v="0"/>
    <x v="14"/>
    <x v="0"/>
    <n v="94520"/>
  </r>
  <r>
    <s v="CSKU15377_3ES"/>
    <x v="2"/>
    <x v="0"/>
    <x v="0"/>
    <x v="2"/>
    <x v="4"/>
    <x v="7"/>
    <x v="376"/>
    <x v="0"/>
    <x v="14"/>
    <x v="0"/>
    <n v="94520"/>
  </r>
  <r>
    <s v="CSKU15378_3ES"/>
    <x v="2"/>
    <x v="0"/>
    <x v="0"/>
    <x v="8"/>
    <x v="4"/>
    <x v="7"/>
    <x v="376"/>
    <x v="0"/>
    <x v="14"/>
    <x v="0"/>
    <n v="98080"/>
  </r>
  <r>
    <s v="CSKU15379_3ES"/>
    <x v="2"/>
    <x v="0"/>
    <x v="0"/>
    <x v="9"/>
    <x v="4"/>
    <x v="7"/>
    <x v="376"/>
    <x v="0"/>
    <x v="14"/>
    <x v="0"/>
    <n v="101620"/>
  </r>
  <r>
    <s v="CSKU15419_3ES"/>
    <x v="2"/>
    <x v="0"/>
    <x v="1"/>
    <x v="2"/>
    <x v="4"/>
    <x v="7"/>
    <x v="371"/>
    <x v="1"/>
    <x v="14"/>
    <x v="0"/>
    <n v="99630"/>
  </r>
  <r>
    <s v="CSKU15420_3ES"/>
    <x v="2"/>
    <x v="0"/>
    <x v="1"/>
    <x v="2"/>
    <x v="1"/>
    <x v="7"/>
    <x v="371"/>
    <x v="1"/>
    <x v="14"/>
    <x v="0"/>
    <n v="115780"/>
  </r>
  <r>
    <s v="CSKU15421_3ES"/>
    <x v="2"/>
    <x v="0"/>
    <x v="1"/>
    <x v="8"/>
    <x v="4"/>
    <x v="7"/>
    <x v="371"/>
    <x v="1"/>
    <x v="14"/>
    <x v="0"/>
    <n v="103610"/>
  </r>
  <r>
    <s v="CSKU15422_3ES"/>
    <x v="2"/>
    <x v="0"/>
    <x v="1"/>
    <x v="8"/>
    <x v="1"/>
    <x v="7"/>
    <x v="371"/>
    <x v="1"/>
    <x v="14"/>
    <x v="0"/>
    <n v="119750"/>
  </r>
  <r>
    <s v="CSKU15423_3ES"/>
    <x v="2"/>
    <x v="0"/>
    <x v="1"/>
    <x v="9"/>
    <x v="4"/>
    <x v="7"/>
    <x v="371"/>
    <x v="1"/>
    <x v="14"/>
    <x v="0"/>
    <n v="107580"/>
  </r>
  <r>
    <s v="CSKU15424_3ES"/>
    <x v="2"/>
    <x v="0"/>
    <x v="1"/>
    <x v="9"/>
    <x v="1"/>
    <x v="7"/>
    <x v="371"/>
    <x v="1"/>
    <x v="14"/>
    <x v="0"/>
    <n v="125710"/>
  </r>
  <r>
    <s v="CSKU15449_3ES"/>
    <x v="2"/>
    <x v="0"/>
    <x v="0"/>
    <x v="2"/>
    <x v="4"/>
    <x v="7"/>
    <x v="377"/>
    <x v="0"/>
    <x v="14"/>
    <x v="0"/>
    <n v="91010"/>
  </r>
  <r>
    <s v="CSKU15450_3ES"/>
    <x v="2"/>
    <x v="0"/>
    <x v="0"/>
    <x v="8"/>
    <x v="4"/>
    <x v="7"/>
    <x v="377"/>
    <x v="0"/>
    <x v="14"/>
    <x v="0"/>
    <n v="94570"/>
  </r>
  <r>
    <s v="CSKU15451_3ES"/>
    <x v="2"/>
    <x v="0"/>
    <x v="0"/>
    <x v="9"/>
    <x v="4"/>
    <x v="7"/>
    <x v="377"/>
    <x v="0"/>
    <x v="14"/>
    <x v="0"/>
    <n v="98110"/>
  </r>
  <r>
    <s v="CSKU15452_3ES"/>
    <x v="2"/>
    <x v="0"/>
    <x v="0"/>
    <x v="2"/>
    <x v="1"/>
    <x v="7"/>
    <x v="377"/>
    <x v="0"/>
    <x v="14"/>
    <x v="0"/>
    <n v="105670"/>
  </r>
  <r>
    <s v="CSKU15453_3ES"/>
    <x v="2"/>
    <x v="0"/>
    <x v="0"/>
    <x v="8"/>
    <x v="1"/>
    <x v="7"/>
    <x v="377"/>
    <x v="0"/>
    <x v="14"/>
    <x v="0"/>
    <n v="109230"/>
  </r>
  <r>
    <s v="CSKU15454_3ES"/>
    <x v="2"/>
    <x v="0"/>
    <x v="0"/>
    <x v="9"/>
    <x v="1"/>
    <x v="7"/>
    <x v="377"/>
    <x v="0"/>
    <x v="14"/>
    <x v="0"/>
    <n v="114540"/>
  </r>
  <r>
    <s v="CSKU14668_3ES"/>
    <x v="2"/>
    <x v="0"/>
    <x v="1"/>
    <x v="9"/>
    <x v="1"/>
    <x v="7"/>
    <x v="171"/>
    <x v="1"/>
    <x v="14"/>
    <x v="0"/>
    <n v="113860"/>
  </r>
  <r>
    <s v="CSKU14837_3ES"/>
    <x v="2"/>
    <x v="0"/>
    <x v="0"/>
    <x v="2"/>
    <x v="4"/>
    <x v="7"/>
    <x v="378"/>
    <x v="0"/>
    <x v="14"/>
    <x v="0"/>
    <n v="83030"/>
  </r>
  <r>
    <s v="CSKU14838_3ES"/>
    <x v="2"/>
    <x v="0"/>
    <x v="0"/>
    <x v="8"/>
    <x v="4"/>
    <x v="7"/>
    <x v="378"/>
    <x v="0"/>
    <x v="14"/>
    <x v="0"/>
    <n v="86590"/>
  </r>
  <r>
    <s v="CSKU14839_3ES"/>
    <x v="2"/>
    <x v="0"/>
    <x v="0"/>
    <x v="9"/>
    <x v="4"/>
    <x v="7"/>
    <x v="378"/>
    <x v="0"/>
    <x v="14"/>
    <x v="0"/>
    <n v="90130"/>
  </r>
  <r>
    <s v="CSKU14840_3ES"/>
    <x v="2"/>
    <x v="0"/>
    <x v="0"/>
    <x v="2"/>
    <x v="1"/>
    <x v="7"/>
    <x v="378"/>
    <x v="0"/>
    <x v="14"/>
    <x v="0"/>
    <n v="96790"/>
  </r>
  <r>
    <s v="CSKU15809_3ES"/>
    <x v="2"/>
    <x v="0"/>
    <x v="0"/>
    <x v="2"/>
    <x v="4"/>
    <x v="7"/>
    <x v="177"/>
    <x v="0"/>
    <x v="14"/>
    <x v="0"/>
    <n v="98820"/>
  </r>
  <r>
    <s v="CSKU14117_3ES"/>
    <x v="2"/>
    <x v="0"/>
    <x v="0"/>
    <x v="2"/>
    <x v="4"/>
    <x v="7"/>
    <x v="379"/>
    <x v="0"/>
    <x v="14"/>
    <x v="0"/>
    <n v="91010"/>
  </r>
  <r>
    <s v="CSKU14118_3ES"/>
    <x v="2"/>
    <x v="0"/>
    <x v="0"/>
    <x v="8"/>
    <x v="4"/>
    <x v="7"/>
    <x v="379"/>
    <x v="0"/>
    <x v="14"/>
    <x v="0"/>
    <n v="94570"/>
  </r>
  <r>
    <s v="CSKU14119_3ES"/>
    <x v="2"/>
    <x v="0"/>
    <x v="0"/>
    <x v="9"/>
    <x v="4"/>
    <x v="7"/>
    <x v="379"/>
    <x v="0"/>
    <x v="14"/>
    <x v="0"/>
    <n v="98110"/>
  </r>
  <r>
    <s v="CSKU14120_3ES"/>
    <x v="2"/>
    <x v="0"/>
    <x v="0"/>
    <x v="2"/>
    <x v="1"/>
    <x v="7"/>
    <x v="379"/>
    <x v="0"/>
    <x v="14"/>
    <x v="0"/>
    <n v="105670"/>
  </r>
  <r>
    <s v="CSKU14121_3ES"/>
    <x v="2"/>
    <x v="0"/>
    <x v="0"/>
    <x v="8"/>
    <x v="1"/>
    <x v="7"/>
    <x v="379"/>
    <x v="0"/>
    <x v="14"/>
    <x v="0"/>
    <n v="109230"/>
  </r>
  <r>
    <s v="CSKU14412_3ES"/>
    <x v="2"/>
    <x v="0"/>
    <x v="1"/>
    <x v="2"/>
    <x v="1"/>
    <x v="7"/>
    <x v="166"/>
    <x v="1"/>
    <x v="14"/>
    <x v="0"/>
    <n v="115780"/>
  </r>
  <r>
    <s v="CSKU14413_3ES"/>
    <x v="2"/>
    <x v="0"/>
    <x v="1"/>
    <x v="8"/>
    <x v="4"/>
    <x v="7"/>
    <x v="166"/>
    <x v="1"/>
    <x v="14"/>
    <x v="0"/>
    <n v="103610"/>
  </r>
  <r>
    <s v="CSKU14414_3ES"/>
    <x v="2"/>
    <x v="0"/>
    <x v="1"/>
    <x v="8"/>
    <x v="1"/>
    <x v="7"/>
    <x v="166"/>
    <x v="1"/>
    <x v="14"/>
    <x v="0"/>
    <n v="119750"/>
  </r>
  <r>
    <s v="CSKU14415_3ES"/>
    <x v="2"/>
    <x v="0"/>
    <x v="1"/>
    <x v="9"/>
    <x v="4"/>
    <x v="7"/>
    <x v="166"/>
    <x v="1"/>
    <x v="14"/>
    <x v="0"/>
    <n v="107580"/>
  </r>
  <r>
    <s v="CSKU14416_3ES"/>
    <x v="2"/>
    <x v="0"/>
    <x v="1"/>
    <x v="9"/>
    <x v="1"/>
    <x v="7"/>
    <x v="166"/>
    <x v="1"/>
    <x v="14"/>
    <x v="0"/>
    <n v="125710"/>
  </r>
  <r>
    <s v="CSKU14340_3ES"/>
    <x v="2"/>
    <x v="0"/>
    <x v="1"/>
    <x v="2"/>
    <x v="1"/>
    <x v="7"/>
    <x v="164"/>
    <x v="1"/>
    <x v="14"/>
    <x v="0"/>
    <n v="111850"/>
  </r>
  <r>
    <s v="CSKU14341_3ES"/>
    <x v="2"/>
    <x v="0"/>
    <x v="1"/>
    <x v="8"/>
    <x v="4"/>
    <x v="7"/>
    <x v="164"/>
    <x v="1"/>
    <x v="14"/>
    <x v="0"/>
    <n v="100100"/>
  </r>
  <r>
    <s v="CSKU14342_3ES"/>
    <x v="2"/>
    <x v="0"/>
    <x v="1"/>
    <x v="8"/>
    <x v="1"/>
    <x v="7"/>
    <x v="164"/>
    <x v="1"/>
    <x v="14"/>
    <x v="0"/>
    <n v="115820"/>
  </r>
  <r>
    <s v="CSKU14343_3ES"/>
    <x v="2"/>
    <x v="0"/>
    <x v="1"/>
    <x v="9"/>
    <x v="4"/>
    <x v="7"/>
    <x v="164"/>
    <x v="1"/>
    <x v="14"/>
    <x v="0"/>
    <n v="104070"/>
  </r>
  <r>
    <s v="CSKU14344_3ES"/>
    <x v="2"/>
    <x v="0"/>
    <x v="1"/>
    <x v="9"/>
    <x v="1"/>
    <x v="7"/>
    <x v="164"/>
    <x v="1"/>
    <x v="14"/>
    <x v="0"/>
    <n v="121780"/>
  </r>
  <r>
    <s v="CSKU14379_3ES"/>
    <x v="2"/>
    <x v="0"/>
    <x v="1"/>
    <x v="9"/>
    <x v="4"/>
    <x v="7"/>
    <x v="165"/>
    <x v="1"/>
    <x v="14"/>
    <x v="0"/>
    <n v="91170"/>
  </r>
  <r>
    <s v="CSKU14380_3ES"/>
    <x v="2"/>
    <x v="0"/>
    <x v="1"/>
    <x v="9"/>
    <x v="1"/>
    <x v="7"/>
    <x v="165"/>
    <x v="1"/>
    <x v="14"/>
    <x v="0"/>
    <n v="105310"/>
  </r>
  <r>
    <s v="CSKU14450_3ES"/>
    <x v="2"/>
    <x v="0"/>
    <x v="1"/>
    <x v="8"/>
    <x v="1"/>
    <x v="7"/>
    <x v="167"/>
    <x v="1"/>
    <x v="14"/>
    <x v="0"/>
    <n v="107900"/>
  </r>
  <r>
    <s v="CSKU14451_3ES"/>
    <x v="2"/>
    <x v="0"/>
    <x v="1"/>
    <x v="9"/>
    <x v="4"/>
    <x v="7"/>
    <x v="167"/>
    <x v="1"/>
    <x v="14"/>
    <x v="0"/>
    <n v="97050"/>
  </r>
  <r>
    <s v="CSKU14452_3ES"/>
    <x v="2"/>
    <x v="0"/>
    <x v="1"/>
    <x v="9"/>
    <x v="1"/>
    <x v="7"/>
    <x v="167"/>
    <x v="1"/>
    <x v="14"/>
    <x v="0"/>
    <n v="113860"/>
  </r>
  <r>
    <s v="CSKU13690_3ES"/>
    <x v="2"/>
    <x v="0"/>
    <x v="0"/>
    <x v="9"/>
    <x v="1"/>
    <x v="7"/>
    <x v="158"/>
    <x v="0"/>
    <x v="14"/>
    <x v="0"/>
    <n v="89190"/>
  </r>
  <r>
    <s v="CSKU13691_3ES"/>
    <x v="2"/>
    <x v="0"/>
    <x v="1"/>
    <x v="2"/>
    <x v="4"/>
    <x v="7"/>
    <x v="158"/>
    <x v="1"/>
    <x v="14"/>
    <x v="0"/>
    <n v="76200"/>
  </r>
  <r>
    <s v="CSKU13692_3ES"/>
    <x v="2"/>
    <x v="0"/>
    <x v="1"/>
    <x v="2"/>
    <x v="1"/>
    <x v="7"/>
    <x v="158"/>
    <x v="1"/>
    <x v="14"/>
    <x v="0"/>
    <n v="87460"/>
  </r>
  <r>
    <s v="CSKU13693_3ES"/>
    <x v="2"/>
    <x v="0"/>
    <x v="1"/>
    <x v="8"/>
    <x v="4"/>
    <x v="7"/>
    <x v="158"/>
    <x v="1"/>
    <x v="14"/>
    <x v="0"/>
    <n v="80180"/>
  </r>
  <r>
    <s v="CSKU13694_3ES"/>
    <x v="2"/>
    <x v="0"/>
    <x v="1"/>
    <x v="8"/>
    <x v="1"/>
    <x v="7"/>
    <x v="158"/>
    <x v="1"/>
    <x v="14"/>
    <x v="0"/>
    <n v="91430"/>
  </r>
  <r>
    <s v="CSKU13695_3ES"/>
    <x v="2"/>
    <x v="0"/>
    <x v="1"/>
    <x v="9"/>
    <x v="4"/>
    <x v="7"/>
    <x v="158"/>
    <x v="1"/>
    <x v="14"/>
    <x v="0"/>
    <n v="84150"/>
  </r>
  <r>
    <s v="CSKU13696_3ES"/>
    <x v="2"/>
    <x v="0"/>
    <x v="1"/>
    <x v="9"/>
    <x v="1"/>
    <x v="7"/>
    <x v="158"/>
    <x v="1"/>
    <x v="14"/>
    <x v="0"/>
    <n v="97390"/>
  </r>
  <r>
    <s v="CSKU13548_2ES"/>
    <x v="2"/>
    <x v="1"/>
    <x v="1"/>
    <x v="4"/>
    <x v="1"/>
    <x v="7"/>
    <x v="157"/>
    <x v="1"/>
    <x v="9"/>
    <x v="0"/>
    <n v="91480"/>
  </r>
  <r>
    <s v="CSKU13549_2ES"/>
    <x v="2"/>
    <x v="1"/>
    <x v="1"/>
    <x v="0"/>
    <x v="4"/>
    <x v="7"/>
    <x v="157"/>
    <x v="1"/>
    <x v="9"/>
    <x v="0"/>
    <n v="80980"/>
  </r>
  <r>
    <s v="CSKU13550_2ES"/>
    <x v="2"/>
    <x v="1"/>
    <x v="1"/>
    <x v="0"/>
    <x v="1"/>
    <x v="7"/>
    <x v="157"/>
    <x v="1"/>
    <x v="9"/>
    <x v="0"/>
    <n v="95440"/>
  </r>
  <r>
    <s v="CSKU13551_2ES"/>
    <x v="2"/>
    <x v="1"/>
    <x v="1"/>
    <x v="7"/>
    <x v="4"/>
    <x v="7"/>
    <x v="157"/>
    <x v="1"/>
    <x v="9"/>
    <x v="0"/>
    <n v="84960"/>
  </r>
  <r>
    <s v="CSKU13552_2ES"/>
    <x v="2"/>
    <x v="1"/>
    <x v="1"/>
    <x v="7"/>
    <x v="1"/>
    <x v="7"/>
    <x v="157"/>
    <x v="1"/>
    <x v="9"/>
    <x v="0"/>
    <n v="99420"/>
  </r>
  <r>
    <s v="CSKU14482_3ES"/>
    <x v="2"/>
    <x v="0"/>
    <x v="0"/>
    <x v="9"/>
    <x v="1"/>
    <x v="7"/>
    <x v="168"/>
    <x v="0"/>
    <x v="14"/>
    <x v="0"/>
    <n v="134940"/>
  </r>
  <r>
    <s v="CSKU14483_3ES"/>
    <x v="2"/>
    <x v="0"/>
    <x v="1"/>
    <x v="2"/>
    <x v="4"/>
    <x v="7"/>
    <x v="168"/>
    <x v="1"/>
    <x v="14"/>
    <x v="0"/>
    <n v="112530"/>
  </r>
  <r>
    <s v="CSKU14484_3ES"/>
    <x v="2"/>
    <x v="0"/>
    <x v="1"/>
    <x v="2"/>
    <x v="1"/>
    <x v="7"/>
    <x v="168"/>
    <x v="1"/>
    <x v="14"/>
    <x v="0"/>
    <n v="132250"/>
  </r>
  <r>
    <s v="CSKU14485_3ES"/>
    <x v="2"/>
    <x v="0"/>
    <x v="1"/>
    <x v="8"/>
    <x v="4"/>
    <x v="7"/>
    <x v="168"/>
    <x v="1"/>
    <x v="14"/>
    <x v="0"/>
    <n v="116510"/>
  </r>
  <r>
    <s v="CSKU14486_3ES"/>
    <x v="2"/>
    <x v="0"/>
    <x v="1"/>
    <x v="8"/>
    <x v="1"/>
    <x v="7"/>
    <x v="168"/>
    <x v="1"/>
    <x v="14"/>
    <x v="0"/>
    <n v="136220"/>
  </r>
  <r>
    <s v="CSKU14487_3ES"/>
    <x v="2"/>
    <x v="0"/>
    <x v="1"/>
    <x v="9"/>
    <x v="4"/>
    <x v="7"/>
    <x v="168"/>
    <x v="1"/>
    <x v="14"/>
    <x v="0"/>
    <n v="120480"/>
  </r>
  <r>
    <s v="CSKU14488_3ES"/>
    <x v="2"/>
    <x v="0"/>
    <x v="1"/>
    <x v="9"/>
    <x v="1"/>
    <x v="7"/>
    <x v="168"/>
    <x v="1"/>
    <x v="14"/>
    <x v="0"/>
    <n v="142180"/>
  </r>
  <r>
    <s v="CSKU13801_3ES"/>
    <x v="2"/>
    <x v="0"/>
    <x v="1"/>
    <x v="8"/>
    <x v="4"/>
    <x v="7"/>
    <x v="160"/>
    <x v="1"/>
    <x v="14"/>
    <x v="0"/>
    <n v="103610"/>
  </r>
  <r>
    <s v="CSKU13802_3ES"/>
    <x v="2"/>
    <x v="0"/>
    <x v="1"/>
    <x v="8"/>
    <x v="1"/>
    <x v="7"/>
    <x v="160"/>
    <x v="1"/>
    <x v="14"/>
    <x v="0"/>
    <n v="119750"/>
  </r>
  <r>
    <s v="CSKU13803_3ES"/>
    <x v="2"/>
    <x v="0"/>
    <x v="1"/>
    <x v="9"/>
    <x v="4"/>
    <x v="7"/>
    <x v="160"/>
    <x v="1"/>
    <x v="14"/>
    <x v="0"/>
    <n v="107580"/>
  </r>
  <r>
    <s v="CSKU13804_3ES"/>
    <x v="2"/>
    <x v="0"/>
    <x v="1"/>
    <x v="9"/>
    <x v="1"/>
    <x v="7"/>
    <x v="160"/>
    <x v="1"/>
    <x v="14"/>
    <x v="0"/>
    <n v="125710"/>
  </r>
  <r>
    <s v="CSKU13831_3ES"/>
    <x v="2"/>
    <x v="0"/>
    <x v="0"/>
    <x v="9"/>
    <x v="4"/>
    <x v="7"/>
    <x v="161"/>
    <x v="0"/>
    <x v="14"/>
    <x v="0"/>
    <n v="101620"/>
  </r>
  <r>
    <s v="CSKU13832_3ES"/>
    <x v="2"/>
    <x v="0"/>
    <x v="0"/>
    <x v="2"/>
    <x v="1"/>
    <x v="7"/>
    <x v="161"/>
    <x v="0"/>
    <x v="14"/>
    <x v="0"/>
    <n v="109600"/>
  </r>
  <r>
    <s v="CSKU13833_3ES"/>
    <x v="2"/>
    <x v="0"/>
    <x v="0"/>
    <x v="8"/>
    <x v="1"/>
    <x v="7"/>
    <x v="161"/>
    <x v="0"/>
    <x v="14"/>
    <x v="0"/>
    <n v="113160"/>
  </r>
  <r>
    <s v="CSKU13834_3ES"/>
    <x v="2"/>
    <x v="0"/>
    <x v="0"/>
    <x v="9"/>
    <x v="1"/>
    <x v="7"/>
    <x v="161"/>
    <x v="0"/>
    <x v="14"/>
    <x v="0"/>
    <n v="118470"/>
  </r>
  <r>
    <s v="CSKU13835_3ES"/>
    <x v="2"/>
    <x v="0"/>
    <x v="1"/>
    <x v="2"/>
    <x v="4"/>
    <x v="7"/>
    <x v="161"/>
    <x v="1"/>
    <x v="14"/>
    <x v="0"/>
    <n v="99630"/>
  </r>
  <r>
    <s v="CSKU13836_3ES"/>
    <x v="2"/>
    <x v="0"/>
    <x v="1"/>
    <x v="2"/>
    <x v="1"/>
    <x v="7"/>
    <x v="161"/>
    <x v="1"/>
    <x v="14"/>
    <x v="0"/>
    <n v="115780"/>
  </r>
  <r>
    <s v="CSKU13837_3ES"/>
    <x v="2"/>
    <x v="0"/>
    <x v="1"/>
    <x v="8"/>
    <x v="4"/>
    <x v="7"/>
    <x v="161"/>
    <x v="1"/>
    <x v="14"/>
    <x v="0"/>
    <n v="103610"/>
  </r>
  <r>
    <s v="CSKU13865_3ES"/>
    <x v="2"/>
    <x v="0"/>
    <x v="0"/>
    <x v="2"/>
    <x v="4"/>
    <x v="7"/>
    <x v="380"/>
    <x v="0"/>
    <x v="14"/>
    <x v="0"/>
    <n v="81620"/>
  </r>
  <r>
    <s v="CSKU13866_3ES"/>
    <x v="2"/>
    <x v="0"/>
    <x v="0"/>
    <x v="8"/>
    <x v="4"/>
    <x v="7"/>
    <x v="380"/>
    <x v="0"/>
    <x v="14"/>
    <x v="0"/>
    <n v="85180"/>
  </r>
  <r>
    <s v="CSKU13867_3ES"/>
    <x v="2"/>
    <x v="0"/>
    <x v="0"/>
    <x v="9"/>
    <x v="4"/>
    <x v="7"/>
    <x v="380"/>
    <x v="0"/>
    <x v="14"/>
    <x v="0"/>
    <n v="88720"/>
  </r>
  <r>
    <s v="CSKU14520_3ES"/>
    <x v="2"/>
    <x v="0"/>
    <x v="1"/>
    <x v="2"/>
    <x v="1"/>
    <x v="7"/>
    <x v="169"/>
    <x v="1"/>
    <x v="14"/>
    <x v="0"/>
    <n v="132250"/>
  </r>
  <r>
    <s v="CSKU14521_3ES"/>
    <x v="2"/>
    <x v="0"/>
    <x v="1"/>
    <x v="8"/>
    <x v="4"/>
    <x v="7"/>
    <x v="169"/>
    <x v="1"/>
    <x v="14"/>
    <x v="0"/>
    <n v="116510"/>
  </r>
  <r>
    <s v="CSKU14522_3ES"/>
    <x v="2"/>
    <x v="0"/>
    <x v="1"/>
    <x v="8"/>
    <x v="1"/>
    <x v="7"/>
    <x v="169"/>
    <x v="1"/>
    <x v="14"/>
    <x v="0"/>
    <n v="136220"/>
  </r>
  <r>
    <s v="CSKU14523_3ES"/>
    <x v="2"/>
    <x v="0"/>
    <x v="1"/>
    <x v="9"/>
    <x v="4"/>
    <x v="7"/>
    <x v="169"/>
    <x v="1"/>
    <x v="14"/>
    <x v="0"/>
    <n v="120480"/>
  </r>
  <r>
    <s v="CSKU14524_3ES"/>
    <x v="2"/>
    <x v="0"/>
    <x v="1"/>
    <x v="9"/>
    <x v="1"/>
    <x v="7"/>
    <x v="169"/>
    <x v="1"/>
    <x v="14"/>
    <x v="0"/>
    <n v="142180"/>
  </r>
  <r>
    <s v="CSKU14550_3ES"/>
    <x v="2"/>
    <x v="0"/>
    <x v="0"/>
    <x v="8"/>
    <x v="4"/>
    <x v="7"/>
    <x v="170"/>
    <x v="0"/>
    <x v="14"/>
    <x v="0"/>
    <n v="98080"/>
  </r>
  <r>
    <s v="CSKU14551_3ES"/>
    <x v="2"/>
    <x v="0"/>
    <x v="0"/>
    <x v="9"/>
    <x v="4"/>
    <x v="7"/>
    <x v="170"/>
    <x v="0"/>
    <x v="14"/>
    <x v="0"/>
    <n v="101620"/>
  </r>
  <r>
    <s v="CSKU14552_3ES"/>
    <x v="2"/>
    <x v="0"/>
    <x v="0"/>
    <x v="2"/>
    <x v="1"/>
    <x v="7"/>
    <x v="170"/>
    <x v="0"/>
    <x v="14"/>
    <x v="0"/>
    <n v="109600"/>
  </r>
  <r>
    <s v="CSKU14553_3ES"/>
    <x v="2"/>
    <x v="0"/>
    <x v="0"/>
    <x v="8"/>
    <x v="1"/>
    <x v="7"/>
    <x v="170"/>
    <x v="0"/>
    <x v="14"/>
    <x v="0"/>
    <n v="113160"/>
  </r>
  <r>
    <s v="CSKU14554_3ES"/>
    <x v="2"/>
    <x v="0"/>
    <x v="0"/>
    <x v="9"/>
    <x v="1"/>
    <x v="7"/>
    <x v="170"/>
    <x v="0"/>
    <x v="14"/>
    <x v="0"/>
    <n v="118470"/>
  </r>
  <r>
    <s v="CSKU14555_3ES"/>
    <x v="2"/>
    <x v="0"/>
    <x v="1"/>
    <x v="2"/>
    <x v="4"/>
    <x v="7"/>
    <x v="170"/>
    <x v="1"/>
    <x v="14"/>
    <x v="0"/>
    <n v="99630"/>
  </r>
  <r>
    <s v="CSKU14556_3ES"/>
    <x v="2"/>
    <x v="0"/>
    <x v="1"/>
    <x v="2"/>
    <x v="1"/>
    <x v="7"/>
    <x v="170"/>
    <x v="1"/>
    <x v="14"/>
    <x v="0"/>
    <n v="115780"/>
  </r>
  <r>
    <s v="CSKU13433_2ES"/>
    <x v="2"/>
    <x v="1"/>
    <x v="0"/>
    <x v="4"/>
    <x v="4"/>
    <x v="7"/>
    <x v="381"/>
    <x v="0"/>
    <x v="9"/>
    <x v="0"/>
    <n v="64800"/>
  </r>
  <r>
    <s v="CSKU13434_2ES"/>
    <x v="2"/>
    <x v="1"/>
    <x v="0"/>
    <x v="0"/>
    <x v="4"/>
    <x v="7"/>
    <x v="381"/>
    <x v="0"/>
    <x v="9"/>
    <x v="0"/>
    <n v="68330"/>
  </r>
  <r>
    <s v="CSKU13435_2ES"/>
    <x v="2"/>
    <x v="1"/>
    <x v="0"/>
    <x v="7"/>
    <x v="4"/>
    <x v="7"/>
    <x v="381"/>
    <x v="0"/>
    <x v="9"/>
    <x v="0"/>
    <n v="71900"/>
  </r>
  <r>
    <s v="CSKU13436_2ES"/>
    <x v="2"/>
    <x v="1"/>
    <x v="0"/>
    <x v="4"/>
    <x v="1"/>
    <x v="7"/>
    <x v="381"/>
    <x v="0"/>
    <x v="9"/>
    <x v="0"/>
    <n v="76040"/>
  </r>
  <r>
    <s v="CSKU13290_2ES"/>
    <x v="2"/>
    <x v="1"/>
    <x v="0"/>
    <x v="0"/>
    <x v="4"/>
    <x v="7"/>
    <x v="156"/>
    <x v="0"/>
    <x v="9"/>
    <x v="0"/>
    <n v="76930"/>
  </r>
  <r>
    <s v="CSKU13291_2ES"/>
    <x v="2"/>
    <x v="1"/>
    <x v="0"/>
    <x v="7"/>
    <x v="4"/>
    <x v="7"/>
    <x v="156"/>
    <x v="0"/>
    <x v="9"/>
    <x v="0"/>
    <n v="80500"/>
  </r>
  <r>
    <s v="CSKU13292_2ES"/>
    <x v="2"/>
    <x v="1"/>
    <x v="0"/>
    <x v="4"/>
    <x v="1"/>
    <x v="7"/>
    <x v="156"/>
    <x v="0"/>
    <x v="9"/>
    <x v="0"/>
    <n v="87020"/>
  </r>
  <r>
    <s v="CSKU13293_2ES"/>
    <x v="2"/>
    <x v="1"/>
    <x v="0"/>
    <x v="0"/>
    <x v="1"/>
    <x v="7"/>
    <x v="156"/>
    <x v="0"/>
    <x v="9"/>
    <x v="0"/>
    <n v="90550"/>
  </r>
  <r>
    <s v="CSKU13294_2ES"/>
    <x v="2"/>
    <x v="1"/>
    <x v="0"/>
    <x v="7"/>
    <x v="1"/>
    <x v="7"/>
    <x v="156"/>
    <x v="0"/>
    <x v="9"/>
    <x v="0"/>
    <n v="94100"/>
  </r>
  <r>
    <s v="CSKU13295_2ES"/>
    <x v="2"/>
    <x v="1"/>
    <x v="1"/>
    <x v="4"/>
    <x v="4"/>
    <x v="7"/>
    <x v="156"/>
    <x v="1"/>
    <x v="9"/>
    <x v="0"/>
    <n v="77020"/>
  </r>
  <r>
    <s v="CSKU13296_2ES"/>
    <x v="2"/>
    <x v="1"/>
    <x v="1"/>
    <x v="4"/>
    <x v="1"/>
    <x v="7"/>
    <x v="156"/>
    <x v="1"/>
    <x v="9"/>
    <x v="0"/>
    <n v="91480"/>
  </r>
  <r>
    <s v="CSKU13297_2ES"/>
    <x v="2"/>
    <x v="1"/>
    <x v="1"/>
    <x v="0"/>
    <x v="4"/>
    <x v="7"/>
    <x v="156"/>
    <x v="1"/>
    <x v="9"/>
    <x v="0"/>
    <n v="80980"/>
  </r>
  <r>
    <s v="CSKU13325_2ES"/>
    <x v="2"/>
    <x v="1"/>
    <x v="0"/>
    <x v="4"/>
    <x v="4"/>
    <x v="7"/>
    <x v="382"/>
    <x v="0"/>
    <x v="9"/>
    <x v="0"/>
    <n v="64800"/>
  </r>
  <r>
    <s v="CSKU13326_2ES"/>
    <x v="2"/>
    <x v="1"/>
    <x v="0"/>
    <x v="0"/>
    <x v="4"/>
    <x v="7"/>
    <x v="382"/>
    <x v="0"/>
    <x v="9"/>
    <x v="0"/>
    <n v="68330"/>
  </r>
  <r>
    <s v="CSKU13327_2ES"/>
    <x v="2"/>
    <x v="1"/>
    <x v="0"/>
    <x v="7"/>
    <x v="4"/>
    <x v="7"/>
    <x v="382"/>
    <x v="0"/>
    <x v="9"/>
    <x v="0"/>
    <n v="71900"/>
  </r>
  <r>
    <s v="CSKU13328_2ES"/>
    <x v="2"/>
    <x v="1"/>
    <x v="0"/>
    <x v="4"/>
    <x v="1"/>
    <x v="7"/>
    <x v="382"/>
    <x v="0"/>
    <x v="9"/>
    <x v="0"/>
    <n v="76040"/>
  </r>
  <r>
    <s v="CSKU13329_2ES"/>
    <x v="2"/>
    <x v="1"/>
    <x v="0"/>
    <x v="0"/>
    <x v="1"/>
    <x v="7"/>
    <x v="382"/>
    <x v="0"/>
    <x v="9"/>
    <x v="0"/>
    <n v="79570"/>
  </r>
  <r>
    <s v="CSKU13397_2ES"/>
    <x v="2"/>
    <x v="1"/>
    <x v="0"/>
    <x v="4"/>
    <x v="4"/>
    <x v="7"/>
    <x v="383"/>
    <x v="0"/>
    <x v="9"/>
    <x v="0"/>
    <n v="64800"/>
  </r>
  <r>
    <s v="CSKU13398_2ES"/>
    <x v="2"/>
    <x v="1"/>
    <x v="0"/>
    <x v="0"/>
    <x v="4"/>
    <x v="7"/>
    <x v="383"/>
    <x v="0"/>
    <x v="9"/>
    <x v="0"/>
    <n v="68330"/>
  </r>
  <r>
    <s v="CSKU13399_2ES"/>
    <x v="2"/>
    <x v="1"/>
    <x v="0"/>
    <x v="7"/>
    <x v="4"/>
    <x v="7"/>
    <x v="383"/>
    <x v="0"/>
    <x v="9"/>
    <x v="0"/>
    <n v="71900"/>
  </r>
  <r>
    <s v="CSKU13400_2ES"/>
    <x v="2"/>
    <x v="1"/>
    <x v="0"/>
    <x v="4"/>
    <x v="1"/>
    <x v="7"/>
    <x v="383"/>
    <x v="0"/>
    <x v="9"/>
    <x v="0"/>
    <n v="76040"/>
  </r>
  <r>
    <s v="CSKU13401_2ES"/>
    <x v="2"/>
    <x v="1"/>
    <x v="0"/>
    <x v="0"/>
    <x v="1"/>
    <x v="7"/>
    <x v="383"/>
    <x v="0"/>
    <x v="9"/>
    <x v="0"/>
    <n v="79570"/>
  </r>
  <r>
    <s v="CSKU13983_3ES"/>
    <x v="2"/>
    <x v="0"/>
    <x v="1"/>
    <x v="9"/>
    <x v="4"/>
    <x v="7"/>
    <x v="162"/>
    <x v="1"/>
    <x v="14"/>
    <x v="0"/>
    <n v="97050"/>
  </r>
  <r>
    <s v="CSKU13984_3ES"/>
    <x v="2"/>
    <x v="0"/>
    <x v="1"/>
    <x v="9"/>
    <x v="1"/>
    <x v="7"/>
    <x v="162"/>
    <x v="1"/>
    <x v="14"/>
    <x v="0"/>
    <n v="113860"/>
  </r>
  <r>
    <s v="CSKU13544_2ES"/>
    <x v="2"/>
    <x v="1"/>
    <x v="0"/>
    <x v="4"/>
    <x v="1"/>
    <x v="7"/>
    <x v="157"/>
    <x v="0"/>
    <x v="9"/>
    <x v="0"/>
    <n v="87020"/>
  </r>
  <r>
    <s v="CSKU13545_2ES"/>
    <x v="2"/>
    <x v="1"/>
    <x v="0"/>
    <x v="0"/>
    <x v="1"/>
    <x v="7"/>
    <x v="157"/>
    <x v="0"/>
    <x v="9"/>
    <x v="0"/>
    <n v="90550"/>
  </r>
  <r>
    <s v="CSKU13546_2ES"/>
    <x v="2"/>
    <x v="1"/>
    <x v="0"/>
    <x v="7"/>
    <x v="1"/>
    <x v="7"/>
    <x v="157"/>
    <x v="0"/>
    <x v="9"/>
    <x v="0"/>
    <n v="94100"/>
  </r>
  <r>
    <s v="CSKU13541_2ES"/>
    <x v="2"/>
    <x v="1"/>
    <x v="0"/>
    <x v="4"/>
    <x v="4"/>
    <x v="7"/>
    <x v="157"/>
    <x v="0"/>
    <x v="9"/>
    <x v="0"/>
    <n v="73400"/>
  </r>
  <r>
    <s v="CSKU13542_2ES"/>
    <x v="2"/>
    <x v="1"/>
    <x v="0"/>
    <x v="0"/>
    <x v="4"/>
    <x v="7"/>
    <x v="157"/>
    <x v="0"/>
    <x v="9"/>
    <x v="0"/>
    <n v="76930"/>
  </r>
  <r>
    <s v="CSKU13543_2ES"/>
    <x v="2"/>
    <x v="1"/>
    <x v="0"/>
    <x v="7"/>
    <x v="4"/>
    <x v="7"/>
    <x v="157"/>
    <x v="0"/>
    <x v="9"/>
    <x v="0"/>
    <n v="80500"/>
  </r>
  <r>
    <s v="CSKU13649_3ES"/>
    <x v="2"/>
    <x v="0"/>
    <x v="0"/>
    <x v="2"/>
    <x v="4"/>
    <x v="7"/>
    <x v="384"/>
    <x v="0"/>
    <x v="14"/>
    <x v="0"/>
    <n v="78110"/>
  </r>
  <r>
    <s v="CSKU13650_3ES"/>
    <x v="2"/>
    <x v="0"/>
    <x v="0"/>
    <x v="8"/>
    <x v="4"/>
    <x v="7"/>
    <x v="384"/>
    <x v="0"/>
    <x v="14"/>
    <x v="0"/>
    <n v="81670"/>
  </r>
  <r>
    <s v="CSKU13651_3ES"/>
    <x v="2"/>
    <x v="0"/>
    <x v="0"/>
    <x v="9"/>
    <x v="4"/>
    <x v="7"/>
    <x v="384"/>
    <x v="0"/>
    <x v="14"/>
    <x v="0"/>
    <n v="85210"/>
  </r>
  <r>
    <s v="CSKU13652_3ES"/>
    <x v="2"/>
    <x v="0"/>
    <x v="0"/>
    <x v="2"/>
    <x v="1"/>
    <x v="7"/>
    <x v="384"/>
    <x v="0"/>
    <x v="14"/>
    <x v="0"/>
    <n v="89200"/>
  </r>
  <r>
    <s v="CSKU13653_3ES"/>
    <x v="2"/>
    <x v="0"/>
    <x v="0"/>
    <x v="8"/>
    <x v="1"/>
    <x v="7"/>
    <x v="384"/>
    <x v="0"/>
    <x v="14"/>
    <x v="0"/>
    <n v="92760"/>
  </r>
  <r>
    <s v="CSKU13654_3ES"/>
    <x v="2"/>
    <x v="0"/>
    <x v="0"/>
    <x v="9"/>
    <x v="1"/>
    <x v="7"/>
    <x v="384"/>
    <x v="0"/>
    <x v="14"/>
    <x v="0"/>
    <n v="98070"/>
  </r>
  <r>
    <s v="CSKU13655_3ES"/>
    <x v="2"/>
    <x v="0"/>
    <x v="1"/>
    <x v="2"/>
    <x v="4"/>
    <x v="7"/>
    <x v="384"/>
    <x v="1"/>
    <x v="14"/>
    <x v="0"/>
    <n v="83220"/>
  </r>
  <r>
    <s v="CSKU12713_2ES"/>
    <x v="2"/>
    <x v="1"/>
    <x v="0"/>
    <x v="4"/>
    <x v="4"/>
    <x v="7"/>
    <x v="385"/>
    <x v="0"/>
    <x v="9"/>
    <x v="0"/>
    <n v="73400"/>
  </r>
  <r>
    <s v="CSKU12714_2ES"/>
    <x v="2"/>
    <x v="1"/>
    <x v="0"/>
    <x v="0"/>
    <x v="4"/>
    <x v="7"/>
    <x v="385"/>
    <x v="0"/>
    <x v="9"/>
    <x v="0"/>
    <n v="76930"/>
  </r>
  <r>
    <s v="CSKU12715_2ES"/>
    <x v="2"/>
    <x v="1"/>
    <x v="0"/>
    <x v="7"/>
    <x v="4"/>
    <x v="7"/>
    <x v="385"/>
    <x v="0"/>
    <x v="9"/>
    <x v="0"/>
    <n v="80500"/>
  </r>
  <r>
    <s v="CSKU12716_2ES"/>
    <x v="2"/>
    <x v="1"/>
    <x v="0"/>
    <x v="4"/>
    <x v="1"/>
    <x v="7"/>
    <x v="385"/>
    <x v="0"/>
    <x v="9"/>
    <x v="0"/>
    <n v="87020"/>
  </r>
  <r>
    <s v="CSKU14013_3ES"/>
    <x v="2"/>
    <x v="0"/>
    <x v="0"/>
    <x v="8"/>
    <x v="1"/>
    <x v="7"/>
    <x v="163"/>
    <x v="0"/>
    <x v="14"/>
    <x v="0"/>
    <n v="129630"/>
  </r>
  <r>
    <s v="CSKU14014_3ES"/>
    <x v="2"/>
    <x v="0"/>
    <x v="0"/>
    <x v="9"/>
    <x v="1"/>
    <x v="7"/>
    <x v="163"/>
    <x v="0"/>
    <x v="14"/>
    <x v="0"/>
    <n v="134940"/>
  </r>
  <r>
    <s v="CSKU14015_3ES"/>
    <x v="2"/>
    <x v="0"/>
    <x v="1"/>
    <x v="2"/>
    <x v="4"/>
    <x v="7"/>
    <x v="163"/>
    <x v="1"/>
    <x v="14"/>
    <x v="0"/>
    <n v="112530"/>
  </r>
  <r>
    <s v="CSKU14016_3ES"/>
    <x v="2"/>
    <x v="0"/>
    <x v="1"/>
    <x v="2"/>
    <x v="1"/>
    <x v="7"/>
    <x v="163"/>
    <x v="1"/>
    <x v="14"/>
    <x v="0"/>
    <n v="132250"/>
  </r>
  <r>
    <s v="CSKU14017_3ES"/>
    <x v="2"/>
    <x v="0"/>
    <x v="1"/>
    <x v="8"/>
    <x v="4"/>
    <x v="7"/>
    <x v="163"/>
    <x v="1"/>
    <x v="14"/>
    <x v="0"/>
    <n v="116510"/>
  </r>
  <r>
    <s v="CSKU14018_3ES"/>
    <x v="2"/>
    <x v="0"/>
    <x v="1"/>
    <x v="8"/>
    <x v="1"/>
    <x v="7"/>
    <x v="163"/>
    <x v="1"/>
    <x v="14"/>
    <x v="0"/>
    <n v="136220"/>
  </r>
  <r>
    <s v="CSKU14019_3ES"/>
    <x v="2"/>
    <x v="0"/>
    <x v="1"/>
    <x v="9"/>
    <x v="4"/>
    <x v="7"/>
    <x v="163"/>
    <x v="1"/>
    <x v="14"/>
    <x v="0"/>
    <n v="120480"/>
  </r>
  <r>
    <s v="CSKU13109_2ES"/>
    <x v="2"/>
    <x v="1"/>
    <x v="0"/>
    <x v="4"/>
    <x v="4"/>
    <x v="7"/>
    <x v="386"/>
    <x v="0"/>
    <x v="9"/>
    <x v="0"/>
    <n v="57140"/>
  </r>
  <r>
    <s v="CSKU13110_2ES"/>
    <x v="2"/>
    <x v="1"/>
    <x v="0"/>
    <x v="0"/>
    <x v="4"/>
    <x v="7"/>
    <x v="386"/>
    <x v="0"/>
    <x v="9"/>
    <x v="0"/>
    <n v="60670"/>
  </r>
  <r>
    <s v="CSKU13111_2ES"/>
    <x v="2"/>
    <x v="1"/>
    <x v="0"/>
    <x v="7"/>
    <x v="4"/>
    <x v="7"/>
    <x v="386"/>
    <x v="0"/>
    <x v="9"/>
    <x v="0"/>
    <n v="64240"/>
  </r>
  <r>
    <s v="CSKU13112_2ES"/>
    <x v="2"/>
    <x v="1"/>
    <x v="0"/>
    <x v="4"/>
    <x v="1"/>
    <x v="7"/>
    <x v="386"/>
    <x v="0"/>
    <x v="9"/>
    <x v="0"/>
    <n v="67500"/>
  </r>
  <r>
    <s v="CSKU13113_2ES"/>
    <x v="2"/>
    <x v="1"/>
    <x v="0"/>
    <x v="0"/>
    <x v="1"/>
    <x v="7"/>
    <x v="386"/>
    <x v="0"/>
    <x v="9"/>
    <x v="0"/>
    <n v="71030"/>
  </r>
  <r>
    <s v="CSKU13114_2ES"/>
    <x v="2"/>
    <x v="1"/>
    <x v="0"/>
    <x v="7"/>
    <x v="1"/>
    <x v="7"/>
    <x v="386"/>
    <x v="0"/>
    <x v="9"/>
    <x v="0"/>
    <n v="74580"/>
  </r>
  <r>
    <s v="CSKU13115_2ES"/>
    <x v="2"/>
    <x v="1"/>
    <x v="1"/>
    <x v="4"/>
    <x v="4"/>
    <x v="7"/>
    <x v="386"/>
    <x v="1"/>
    <x v="9"/>
    <x v="0"/>
    <n v="61400"/>
  </r>
  <r>
    <s v="CSKU12929_2ES"/>
    <x v="2"/>
    <x v="1"/>
    <x v="0"/>
    <x v="4"/>
    <x v="4"/>
    <x v="7"/>
    <x v="387"/>
    <x v="0"/>
    <x v="9"/>
    <x v="0"/>
    <n v="62460"/>
  </r>
  <r>
    <s v="CSKU12930_2ES"/>
    <x v="2"/>
    <x v="1"/>
    <x v="0"/>
    <x v="0"/>
    <x v="4"/>
    <x v="7"/>
    <x v="387"/>
    <x v="0"/>
    <x v="9"/>
    <x v="0"/>
    <n v="65990"/>
  </r>
  <r>
    <s v="CSKU12931_2ES"/>
    <x v="2"/>
    <x v="1"/>
    <x v="0"/>
    <x v="7"/>
    <x v="4"/>
    <x v="7"/>
    <x v="387"/>
    <x v="0"/>
    <x v="9"/>
    <x v="0"/>
    <n v="69560"/>
  </r>
  <r>
    <s v="CSKU12932_2ES"/>
    <x v="2"/>
    <x v="1"/>
    <x v="0"/>
    <x v="4"/>
    <x v="1"/>
    <x v="7"/>
    <x v="387"/>
    <x v="0"/>
    <x v="9"/>
    <x v="0"/>
    <n v="73420"/>
  </r>
  <r>
    <s v="CSKU12933_2ES"/>
    <x v="2"/>
    <x v="1"/>
    <x v="0"/>
    <x v="0"/>
    <x v="1"/>
    <x v="7"/>
    <x v="387"/>
    <x v="0"/>
    <x v="9"/>
    <x v="0"/>
    <n v="76950"/>
  </r>
  <r>
    <s v="CSKU12934_2ES"/>
    <x v="2"/>
    <x v="1"/>
    <x v="0"/>
    <x v="7"/>
    <x v="1"/>
    <x v="7"/>
    <x v="387"/>
    <x v="0"/>
    <x v="9"/>
    <x v="0"/>
    <n v="80500"/>
  </r>
  <r>
    <s v="CSKU12935_2ES"/>
    <x v="2"/>
    <x v="1"/>
    <x v="1"/>
    <x v="4"/>
    <x v="4"/>
    <x v="7"/>
    <x v="387"/>
    <x v="1"/>
    <x v="9"/>
    <x v="0"/>
    <n v="66080"/>
  </r>
  <r>
    <s v="CSKU14045_3ES"/>
    <x v="2"/>
    <x v="0"/>
    <x v="0"/>
    <x v="2"/>
    <x v="4"/>
    <x v="7"/>
    <x v="388"/>
    <x v="0"/>
    <x v="14"/>
    <x v="0"/>
    <n v="107420"/>
  </r>
  <r>
    <s v="CSKU14046_3ES"/>
    <x v="2"/>
    <x v="0"/>
    <x v="0"/>
    <x v="8"/>
    <x v="4"/>
    <x v="7"/>
    <x v="388"/>
    <x v="0"/>
    <x v="14"/>
    <x v="0"/>
    <n v="110980"/>
  </r>
  <r>
    <s v="CSKU14047_3ES"/>
    <x v="2"/>
    <x v="0"/>
    <x v="0"/>
    <x v="9"/>
    <x v="4"/>
    <x v="7"/>
    <x v="388"/>
    <x v="0"/>
    <x v="14"/>
    <x v="0"/>
    <n v="114520"/>
  </r>
  <r>
    <s v="CSKU14048_3ES"/>
    <x v="2"/>
    <x v="0"/>
    <x v="0"/>
    <x v="2"/>
    <x v="1"/>
    <x v="7"/>
    <x v="388"/>
    <x v="0"/>
    <x v="14"/>
    <x v="0"/>
    <n v="126070"/>
  </r>
  <r>
    <s v="CSKU14049_3ES"/>
    <x v="2"/>
    <x v="0"/>
    <x v="0"/>
    <x v="8"/>
    <x v="1"/>
    <x v="7"/>
    <x v="388"/>
    <x v="0"/>
    <x v="14"/>
    <x v="0"/>
    <n v="129630"/>
  </r>
  <r>
    <s v="CSKU13151_2ES"/>
    <x v="2"/>
    <x v="1"/>
    <x v="1"/>
    <x v="4"/>
    <x v="4"/>
    <x v="7"/>
    <x v="155"/>
    <x v="1"/>
    <x v="9"/>
    <x v="0"/>
    <n v="61400"/>
  </r>
  <r>
    <s v="CSKU13152_2ES"/>
    <x v="2"/>
    <x v="1"/>
    <x v="1"/>
    <x v="0"/>
    <x v="4"/>
    <x v="7"/>
    <x v="155"/>
    <x v="1"/>
    <x v="9"/>
    <x v="0"/>
    <n v="65360"/>
  </r>
  <r>
    <s v="CSKU13153_2ES"/>
    <x v="2"/>
    <x v="1"/>
    <x v="1"/>
    <x v="7"/>
    <x v="4"/>
    <x v="7"/>
    <x v="155"/>
    <x v="1"/>
    <x v="9"/>
    <x v="0"/>
    <n v="69340"/>
  </r>
  <r>
    <s v="CSKU13154_2ES"/>
    <x v="2"/>
    <x v="1"/>
    <x v="1"/>
    <x v="4"/>
    <x v="1"/>
    <x v="7"/>
    <x v="155"/>
    <x v="1"/>
    <x v="9"/>
    <x v="0"/>
    <n v="72600"/>
  </r>
  <r>
    <s v="CSKU13155_2ES"/>
    <x v="2"/>
    <x v="1"/>
    <x v="1"/>
    <x v="0"/>
    <x v="1"/>
    <x v="7"/>
    <x v="155"/>
    <x v="1"/>
    <x v="9"/>
    <x v="0"/>
    <n v="76560"/>
  </r>
  <r>
    <s v="CSKU13156_2ES"/>
    <x v="2"/>
    <x v="1"/>
    <x v="1"/>
    <x v="7"/>
    <x v="1"/>
    <x v="7"/>
    <x v="155"/>
    <x v="1"/>
    <x v="9"/>
    <x v="0"/>
    <n v="80540"/>
  </r>
  <r>
    <s v="CSKU12360_2ES"/>
    <x v="2"/>
    <x v="1"/>
    <x v="1"/>
    <x v="4"/>
    <x v="1"/>
    <x v="7"/>
    <x v="151"/>
    <x v="1"/>
    <x v="9"/>
    <x v="0"/>
    <n v="84680"/>
  </r>
  <r>
    <s v="CSKU12361_2ES"/>
    <x v="2"/>
    <x v="1"/>
    <x v="1"/>
    <x v="0"/>
    <x v="4"/>
    <x v="7"/>
    <x v="151"/>
    <x v="1"/>
    <x v="9"/>
    <x v="0"/>
    <n v="75510"/>
  </r>
  <r>
    <s v="CSKU12362_2ES"/>
    <x v="2"/>
    <x v="1"/>
    <x v="1"/>
    <x v="0"/>
    <x v="1"/>
    <x v="7"/>
    <x v="151"/>
    <x v="1"/>
    <x v="9"/>
    <x v="0"/>
    <n v="88640"/>
  </r>
  <r>
    <s v="CSKU12363_2ES"/>
    <x v="2"/>
    <x v="1"/>
    <x v="1"/>
    <x v="7"/>
    <x v="4"/>
    <x v="7"/>
    <x v="151"/>
    <x v="1"/>
    <x v="9"/>
    <x v="0"/>
    <n v="79490"/>
  </r>
  <r>
    <s v="CSKU12364_2ES"/>
    <x v="2"/>
    <x v="1"/>
    <x v="1"/>
    <x v="7"/>
    <x v="1"/>
    <x v="7"/>
    <x v="151"/>
    <x v="1"/>
    <x v="9"/>
    <x v="0"/>
    <n v="92620"/>
  </r>
  <r>
    <s v="CSKU12391_2ES"/>
    <x v="2"/>
    <x v="1"/>
    <x v="0"/>
    <x v="7"/>
    <x v="4"/>
    <x v="7"/>
    <x v="152"/>
    <x v="0"/>
    <x v="9"/>
    <x v="0"/>
    <n v="72370"/>
  </r>
  <r>
    <s v="CSKU12392_2ES"/>
    <x v="2"/>
    <x v="1"/>
    <x v="0"/>
    <x v="4"/>
    <x v="1"/>
    <x v="7"/>
    <x v="152"/>
    <x v="0"/>
    <x v="9"/>
    <x v="0"/>
    <n v="77260"/>
  </r>
  <r>
    <s v="CSKU12393_2ES"/>
    <x v="2"/>
    <x v="1"/>
    <x v="0"/>
    <x v="0"/>
    <x v="1"/>
    <x v="7"/>
    <x v="152"/>
    <x v="0"/>
    <x v="9"/>
    <x v="0"/>
    <n v="80790"/>
  </r>
  <r>
    <s v="CSKU12394_2ES"/>
    <x v="2"/>
    <x v="1"/>
    <x v="0"/>
    <x v="7"/>
    <x v="1"/>
    <x v="7"/>
    <x v="152"/>
    <x v="0"/>
    <x v="9"/>
    <x v="0"/>
    <n v="84340"/>
  </r>
  <r>
    <s v="CSKU12395_2ES"/>
    <x v="2"/>
    <x v="1"/>
    <x v="1"/>
    <x v="4"/>
    <x v="4"/>
    <x v="7"/>
    <x v="152"/>
    <x v="1"/>
    <x v="9"/>
    <x v="0"/>
    <n v="69210"/>
  </r>
  <r>
    <s v="CSKU12396_2ES"/>
    <x v="2"/>
    <x v="1"/>
    <x v="1"/>
    <x v="0"/>
    <x v="4"/>
    <x v="7"/>
    <x v="152"/>
    <x v="1"/>
    <x v="9"/>
    <x v="0"/>
    <n v="73170"/>
  </r>
  <r>
    <s v="CSKU12397_2ES"/>
    <x v="2"/>
    <x v="1"/>
    <x v="1"/>
    <x v="7"/>
    <x v="4"/>
    <x v="7"/>
    <x v="152"/>
    <x v="1"/>
    <x v="9"/>
    <x v="0"/>
    <n v="77150"/>
  </r>
  <r>
    <s v="CSKU12425_2ES"/>
    <x v="2"/>
    <x v="1"/>
    <x v="0"/>
    <x v="4"/>
    <x v="4"/>
    <x v="7"/>
    <x v="389"/>
    <x v="0"/>
    <x v="9"/>
    <x v="0"/>
    <n v="73400"/>
  </r>
  <r>
    <s v="CSKU12426_2ES"/>
    <x v="2"/>
    <x v="1"/>
    <x v="0"/>
    <x v="0"/>
    <x v="4"/>
    <x v="7"/>
    <x v="389"/>
    <x v="0"/>
    <x v="9"/>
    <x v="0"/>
    <n v="76930"/>
  </r>
  <r>
    <s v="CSKU12427_2ES"/>
    <x v="2"/>
    <x v="1"/>
    <x v="0"/>
    <x v="7"/>
    <x v="4"/>
    <x v="7"/>
    <x v="389"/>
    <x v="0"/>
    <x v="9"/>
    <x v="0"/>
    <n v="80500"/>
  </r>
  <r>
    <s v="CSKU13253_2ES"/>
    <x v="2"/>
    <x v="1"/>
    <x v="0"/>
    <x v="4"/>
    <x v="4"/>
    <x v="7"/>
    <x v="390"/>
    <x v="0"/>
    <x v="9"/>
    <x v="0"/>
    <n v="48540"/>
  </r>
  <r>
    <s v="CSKU13254_2ES"/>
    <x v="2"/>
    <x v="1"/>
    <x v="0"/>
    <x v="0"/>
    <x v="4"/>
    <x v="7"/>
    <x v="390"/>
    <x v="0"/>
    <x v="9"/>
    <x v="0"/>
    <n v="52070"/>
  </r>
  <r>
    <s v="CSKU13255_2ES"/>
    <x v="2"/>
    <x v="1"/>
    <x v="0"/>
    <x v="7"/>
    <x v="4"/>
    <x v="7"/>
    <x v="390"/>
    <x v="0"/>
    <x v="9"/>
    <x v="0"/>
    <n v="55640"/>
  </r>
  <r>
    <s v="CSKU13256_2ES"/>
    <x v="2"/>
    <x v="1"/>
    <x v="0"/>
    <x v="4"/>
    <x v="1"/>
    <x v="7"/>
    <x v="390"/>
    <x v="0"/>
    <x v="9"/>
    <x v="0"/>
    <n v="56520"/>
  </r>
  <r>
    <s v="CSKU13257_2ES"/>
    <x v="2"/>
    <x v="1"/>
    <x v="0"/>
    <x v="0"/>
    <x v="1"/>
    <x v="7"/>
    <x v="390"/>
    <x v="0"/>
    <x v="9"/>
    <x v="0"/>
    <n v="60050"/>
  </r>
  <r>
    <s v="CSKU13258_2ES"/>
    <x v="2"/>
    <x v="1"/>
    <x v="0"/>
    <x v="7"/>
    <x v="1"/>
    <x v="7"/>
    <x v="390"/>
    <x v="0"/>
    <x v="9"/>
    <x v="0"/>
    <n v="63600"/>
  </r>
  <r>
    <s v="CSKU13259_2ES"/>
    <x v="2"/>
    <x v="1"/>
    <x v="1"/>
    <x v="4"/>
    <x v="4"/>
    <x v="7"/>
    <x v="390"/>
    <x v="1"/>
    <x v="9"/>
    <x v="0"/>
    <n v="52800"/>
  </r>
  <r>
    <s v="CSKU13260_2ES"/>
    <x v="2"/>
    <x v="1"/>
    <x v="1"/>
    <x v="0"/>
    <x v="4"/>
    <x v="7"/>
    <x v="390"/>
    <x v="1"/>
    <x v="9"/>
    <x v="0"/>
    <n v="56760"/>
  </r>
  <r>
    <s v="CSKU13261_2ES"/>
    <x v="2"/>
    <x v="1"/>
    <x v="1"/>
    <x v="7"/>
    <x v="4"/>
    <x v="7"/>
    <x v="390"/>
    <x v="1"/>
    <x v="9"/>
    <x v="0"/>
    <n v="60740"/>
  </r>
  <r>
    <s v="CSKU12541_2ES"/>
    <x v="2"/>
    <x v="1"/>
    <x v="1"/>
    <x v="0"/>
    <x v="4"/>
    <x v="7"/>
    <x v="153"/>
    <x v="1"/>
    <x v="9"/>
    <x v="0"/>
    <n v="72380"/>
  </r>
  <r>
    <s v="CSKU12542_2ES"/>
    <x v="2"/>
    <x v="1"/>
    <x v="1"/>
    <x v="0"/>
    <x v="1"/>
    <x v="7"/>
    <x v="153"/>
    <x v="1"/>
    <x v="9"/>
    <x v="0"/>
    <n v="84460"/>
  </r>
  <r>
    <s v="CSKU12543_2ES"/>
    <x v="2"/>
    <x v="1"/>
    <x v="1"/>
    <x v="7"/>
    <x v="4"/>
    <x v="7"/>
    <x v="153"/>
    <x v="1"/>
    <x v="9"/>
    <x v="0"/>
    <n v="76360"/>
  </r>
  <r>
    <s v="CSKU12544_2ES"/>
    <x v="2"/>
    <x v="1"/>
    <x v="1"/>
    <x v="7"/>
    <x v="1"/>
    <x v="7"/>
    <x v="153"/>
    <x v="1"/>
    <x v="9"/>
    <x v="0"/>
    <n v="88440"/>
  </r>
  <r>
    <s v="CSKU12571_2ES"/>
    <x v="2"/>
    <x v="1"/>
    <x v="0"/>
    <x v="7"/>
    <x v="4"/>
    <x v="7"/>
    <x v="154"/>
    <x v="0"/>
    <x v="9"/>
    <x v="0"/>
    <n v="71900"/>
  </r>
  <r>
    <s v="CSKU12572_2ES"/>
    <x v="2"/>
    <x v="1"/>
    <x v="0"/>
    <x v="4"/>
    <x v="1"/>
    <x v="7"/>
    <x v="154"/>
    <x v="0"/>
    <x v="9"/>
    <x v="0"/>
    <n v="76040"/>
  </r>
  <r>
    <s v="CSKU12573_2ES"/>
    <x v="2"/>
    <x v="1"/>
    <x v="0"/>
    <x v="0"/>
    <x v="1"/>
    <x v="7"/>
    <x v="154"/>
    <x v="0"/>
    <x v="9"/>
    <x v="0"/>
    <n v="79570"/>
  </r>
  <r>
    <s v="CSKU12574_2ES"/>
    <x v="2"/>
    <x v="1"/>
    <x v="0"/>
    <x v="7"/>
    <x v="1"/>
    <x v="7"/>
    <x v="154"/>
    <x v="0"/>
    <x v="9"/>
    <x v="0"/>
    <n v="83120"/>
  </r>
  <r>
    <s v="CSKU12575_2ES"/>
    <x v="2"/>
    <x v="1"/>
    <x v="1"/>
    <x v="4"/>
    <x v="4"/>
    <x v="7"/>
    <x v="154"/>
    <x v="1"/>
    <x v="9"/>
    <x v="0"/>
    <n v="68420"/>
  </r>
  <r>
    <s v="CSKU12576_2ES"/>
    <x v="2"/>
    <x v="1"/>
    <x v="1"/>
    <x v="4"/>
    <x v="1"/>
    <x v="7"/>
    <x v="154"/>
    <x v="1"/>
    <x v="9"/>
    <x v="0"/>
    <n v="80500"/>
  </r>
  <r>
    <s v="CSKU12577_2ES"/>
    <x v="2"/>
    <x v="1"/>
    <x v="1"/>
    <x v="0"/>
    <x v="4"/>
    <x v="7"/>
    <x v="154"/>
    <x v="1"/>
    <x v="9"/>
    <x v="0"/>
    <n v="72380"/>
  </r>
  <r>
    <s v="CSKU12578_2ES"/>
    <x v="2"/>
    <x v="1"/>
    <x v="1"/>
    <x v="0"/>
    <x v="1"/>
    <x v="7"/>
    <x v="154"/>
    <x v="1"/>
    <x v="9"/>
    <x v="0"/>
    <n v="84460"/>
  </r>
  <r>
    <s v="CSKU12605_2ES"/>
    <x v="2"/>
    <x v="1"/>
    <x v="0"/>
    <x v="4"/>
    <x v="4"/>
    <x v="7"/>
    <x v="391"/>
    <x v="0"/>
    <x v="9"/>
    <x v="0"/>
    <n v="64800"/>
  </r>
  <r>
    <s v="CSKU12606_2ES"/>
    <x v="2"/>
    <x v="1"/>
    <x v="0"/>
    <x v="0"/>
    <x v="4"/>
    <x v="7"/>
    <x v="391"/>
    <x v="0"/>
    <x v="9"/>
    <x v="0"/>
    <n v="68330"/>
  </r>
  <r>
    <s v="CSKU12607_2ES"/>
    <x v="2"/>
    <x v="1"/>
    <x v="0"/>
    <x v="7"/>
    <x v="4"/>
    <x v="7"/>
    <x v="391"/>
    <x v="0"/>
    <x v="9"/>
    <x v="0"/>
    <n v="71900"/>
  </r>
  <r>
    <s v="CSKU12608_2ES"/>
    <x v="2"/>
    <x v="1"/>
    <x v="0"/>
    <x v="4"/>
    <x v="1"/>
    <x v="7"/>
    <x v="391"/>
    <x v="0"/>
    <x v="9"/>
    <x v="0"/>
    <n v="76040"/>
  </r>
  <r>
    <s v="CSKU12609_2ES"/>
    <x v="2"/>
    <x v="1"/>
    <x v="0"/>
    <x v="0"/>
    <x v="1"/>
    <x v="7"/>
    <x v="391"/>
    <x v="0"/>
    <x v="9"/>
    <x v="0"/>
    <n v="79570"/>
  </r>
  <r>
    <s v="CSKU12610_2ES"/>
    <x v="2"/>
    <x v="1"/>
    <x v="0"/>
    <x v="7"/>
    <x v="1"/>
    <x v="7"/>
    <x v="391"/>
    <x v="0"/>
    <x v="9"/>
    <x v="0"/>
    <n v="83120"/>
  </r>
  <r>
    <s v="CSKU12611_2ES"/>
    <x v="2"/>
    <x v="1"/>
    <x v="1"/>
    <x v="4"/>
    <x v="4"/>
    <x v="7"/>
    <x v="391"/>
    <x v="1"/>
    <x v="9"/>
    <x v="0"/>
    <n v="68420"/>
  </r>
  <r>
    <s v="CSKU11705_2ES"/>
    <x v="2"/>
    <x v="1"/>
    <x v="0"/>
    <x v="4"/>
    <x v="4"/>
    <x v="7"/>
    <x v="392"/>
    <x v="0"/>
    <x v="9"/>
    <x v="0"/>
    <n v="73400"/>
  </r>
  <r>
    <s v="CSKU11706_2ES"/>
    <x v="2"/>
    <x v="1"/>
    <x v="0"/>
    <x v="0"/>
    <x v="4"/>
    <x v="7"/>
    <x v="392"/>
    <x v="0"/>
    <x v="9"/>
    <x v="0"/>
    <n v="76930"/>
  </r>
  <r>
    <s v="CSKU11707_2ES"/>
    <x v="2"/>
    <x v="1"/>
    <x v="0"/>
    <x v="7"/>
    <x v="4"/>
    <x v="7"/>
    <x v="392"/>
    <x v="0"/>
    <x v="9"/>
    <x v="0"/>
    <n v="80500"/>
  </r>
  <r>
    <s v="CSKU11708_2ES"/>
    <x v="2"/>
    <x v="1"/>
    <x v="0"/>
    <x v="4"/>
    <x v="1"/>
    <x v="7"/>
    <x v="392"/>
    <x v="0"/>
    <x v="9"/>
    <x v="0"/>
    <n v="87020"/>
  </r>
  <r>
    <s v="CSKU11741_2ES"/>
    <x v="2"/>
    <x v="1"/>
    <x v="0"/>
    <x v="4"/>
    <x v="4"/>
    <x v="7"/>
    <x v="393"/>
    <x v="0"/>
    <x v="9"/>
    <x v="0"/>
    <n v="69100"/>
  </r>
  <r>
    <s v="CSKU11742_2ES"/>
    <x v="2"/>
    <x v="1"/>
    <x v="0"/>
    <x v="0"/>
    <x v="4"/>
    <x v="7"/>
    <x v="393"/>
    <x v="0"/>
    <x v="9"/>
    <x v="0"/>
    <n v="72630"/>
  </r>
  <r>
    <s v="CSKU11743_2ES"/>
    <x v="2"/>
    <x v="1"/>
    <x v="0"/>
    <x v="7"/>
    <x v="4"/>
    <x v="7"/>
    <x v="393"/>
    <x v="0"/>
    <x v="9"/>
    <x v="0"/>
    <n v="76200"/>
  </r>
  <r>
    <s v="CSKU11744_2ES"/>
    <x v="2"/>
    <x v="1"/>
    <x v="0"/>
    <x v="4"/>
    <x v="1"/>
    <x v="7"/>
    <x v="393"/>
    <x v="0"/>
    <x v="9"/>
    <x v="0"/>
    <n v="81530"/>
  </r>
  <r>
    <s v="CSKU11745_2ES"/>
    <x v="2"/>
    <x v="1"/>
    <x v="0"/>
    <x v="0"/>
    <x v="1"/>
    <x v="7"/>
    <x v="393"/>
    <x v="0"/>
    <x v="9"/>
    <x v="0"/>
    <n v="85060"/>
  </r>
  <r>
    <s v="CSKU11746_2ES"/>
    <x v="2"/>
    <x v="1"/>
    <x v="0"/>
    <x v="7"/>
    <x v="1"/>
    <x v="7"/>
    <x v="393"/>
    <x v="0"/>
    <x v="9"/>
    <x v="0"/>
    <n v="88610"/>
  </r>
  <r>
    <s v="CSKU11747_2ES"/>
    <x v="2"/>
    <x v="1"/>
    <x v="1"/>
    <x v="4"/>
    <x v="4"/>
    <x v="7"/>
    <x v="393"/>
    <x v="1"/>
    <x v="9"/>
    <x v="0"/>
    <n v="72720"/>
  </r>
  <r>
    <s v="CSKU11748_2ES"/>
    <x v="2"/>
    <x v="1"/>
    <x v="1"/>
    <x v="4"/>
    <x v="1"/>
    <x v="7"/>
    <x v="393"/>
    <x v="1"/>
    <x v="9"/>
    <x v="0"/>
    <n v="85990"/>
  </r>
  <r>
    <s v="CSKU11783_2ES"/>
    <x v="2"/>
    <x v="1"/>
    <x v="1"/>
    <x v="4"/>
    <x v="4"/>
    <x v="7"/>
    <x v="146"/>
    <x v="1"/>
    <x v="9"/>
    <x v="0"/>
    <n v="77020"/>
  </r>
  <r>
    <s v="CSKU11784_2ES"/>
    <x v="2"/>
    <x v="1"/>
    <x v="1"/>
    <x v="4"/>
    <x v="1"/>
    <x v="7"/>
    <x v="146"/>
    <x v="1"/>
    <x v="9"/>
    <x v="0"/>
    <n v="91480"/>
  </r>
  <r>
    <s v="CSKU11785_2ES"/>
    <x v="2"/>
    <x v="1"/>
    <x v="1"/>
    <x v="0"/>
    <x v="4"/>
    <x v="7"/>
    <x v="146"/>
    <x v="1"/>
    <x v="9"/>
    <x v="0"/>
    <n v="80980"/>
  </r>
  <r>
    <s v="CSKU11786_2ES"/>
    <x v="2"/>
    <x v="1"/>
    <x v="1"/>
    <x v="0"/>
    <x v="1"/>
    <x v="7"/>
    <x v="146"/>
    <x v="1"/>
    <x v="9"/>
    <x v="0"/>
    <n v="95440"/>
  </r>
  <r>
    <s v="CSKU11787_2ES"/>
    <x v="2"/>
    <x v="1"/>
    <x v="1"/>
    <x v="7"/>
    <x v="4"/>
    <x v="7"/>
    <x v="146"/>
    <x v="1"/>
    <x v="9"/>
    <x v="0"/>
    <n v="84960"/>
  </r>
  <r>
    <s v="CSKU11788_2ES"/>
    <x v="2"/>
    <x v="1"/>
    <x v="1"/>
    <x v="7"/>
    <x v="1"/>
    <x v="7"/>
    <x v="146"/>
    <x v="1"/>
    <x v="9"/>
    <x v="0"/>
    <n v="99420"/>
  </r>
  <r>
    <s v="CSKU11814_2ES"/>
    <x v="2"/>
    <x v="1"/>
    <x v="0"/>
    <x v="0"/>
    <x v="4"/>
    <x v="7"/>
    <x v="147"/>
    <x v="0"/>
    <x v="9"/>
    <x v="0"/>
    <n v="72630"/>
  </r>
  <r>
    <s v="CSKU11815_2ES"/>
    <x v="2"/>
    <x v="1"/>
    <x v="0"/>
    <x v="7"/>
    <x v="4"/>
    <x v="7"/>
    <x v="147"/>
    <x v="0"/>
    <x v="9"/>
    <x v="0"/>
    <n v="76200"/>
  </r>
  <r>
    <s v="CSKU11816_2ES"/>
    <x v="2"/>
    <x v="1"/>
    <x v="0"/>
    <x v="4"/>
    <x v="1"/>
    <x v="7"/>
    <x v="147"/>
    <x v="0"/>
    <x v="9"/>
    <x v="0"/>
    <n v="81530"/>
  </r>
  <r>
    <s v="CSKU11817_2ES"/>
    <x v="2"/>
    <x v="1"/>
    <x v="0"/>
    <x v="0"/>
    <x v="1"/>
    <x v="7"/>
    <x v="147"/>
    <x v="0"/>
    <x v="9"/>
    <x v="0"/>
    <n v="85060"/>
  </r>
  <r>
    <s v="CSKU11818_2ES"/>
    <x v="2"/>
    <x v="1"/>
    <x v="0"/>
    <x v="7"/>
    <x v="1"/>
    <x v="7"/>
    <x v="147"/>
    <x v="0"/>
    <x v="9"/>
    <x v="0"/>
    <n v="88610"/>
  </r>
  <r>
    <s v="CSKU11819_2ES"/>
    <x v="2"/>
    <x v="1"/>
    <x v="1"/>
    <x v="4"/>
    <x v="4"/>
    <x v="7"/>
    <x v="147"/>
    <x v="1"/>
    <x v="9"/>
    <x v="0"/>
    <n v="72720"/>
  </r>
  <r>
    <s v="CSKU11820_2ES"/>
    <x v="2"/>
    <x v="1"/>
    <x v="1"/>
    <x v="4"/>
    <x v="1"/>
    <x v="7"/>
    <x v="147"/>
    <x v="1"/>
    <x v="9"/>
    <x v="0"/>
    <n v="85990"/>
  </r>
  <r>
    <s v="CSKU11821_2ES"/>
    <x v="2"/>
    <x v="1"/>
    <x v="1"/>
    <x v="0"/>
    <x v="4"/>
    <x v="7"/>
    <x v="147"/>
    <x v="1"/>
    <x v="9"/>
    <x v="0"/>
    <n v="76680"/>
  </r>
  <r>
    <s v="CSKU11856_2ES"/>
    <x v="2"/>
    <x v="1"/>
    <x v="1"/>
    <x v="4"/>
    <x v="1"/>
    <x v="7"/>
    <x v="148"/>
    <x v="1"/>
    <x v="9"/>
    <x v="0"/>
    <n v="84680"/>
  </r>
  <r>
    <s v="CSKU11857_2ES"/>
    <x v="2"/>
    <x v="1"/>
    <x v="1"/>
    <x v="0"/>
    <x v="4"/>
    <x v="7"/>
    <x v="148"/>
    <x v="1"/>
    <x v="9"/>
    <x v="0"/>
    <n v="75510"/>
  </r>
  <r>
    <s v="CSKU11858_2ES"/>
    <x v="2"/>
    <x v="1"/>
    <x v="1"/>
    <x v="0"/>
    <x v="1"/>
    <x v="7"/>
    <x v="148"/>
    <x v="1"/>
    <x v="9"/>
    <x v="0"/>
    <n v="88640"/>
  </r>
  <r>
    <s v="CSKU11859_2ES"/>
    <x v="2"/>
    <x v="1"/>
    <x v="1"/>
    <x v="7"/>
    <x v="4"/>
    <x v="7"/>
    <x v="148"/>
    <x v="1"/>
    <x v="9"/>
    <x v="0"/>
    <n v="79490"/>
  </r>
  <r>
    <s v="CSKU11860_2ES"/>
    <x v="2"/>
    <x v="1"/>
    <x v="1"/>
    <x v="7"/>
    <x v="1"/>
    <x v="7"/>
    <x v="148"/>
    <x v="1"/>
    <x v="9"/>
    <x v="0"/>
    <n v="92620"/>
  </r>
  <r>
    <s v="CSKU12641_2ES"/>
    <x v="2"/>
    <x v="1"/>
    <x v="0"/>
    <x v="4"/>
    <x v="4"/>
    <x v="7"/>
    <x v="394"/>
    <x v="0"/>
    <x v="9"/>
    <x v="0"/>
    <n v="64800"/>
  </r>
  <r>
    <s v="CSKU12642_2ES"/>
    <x v="2"/>
    <x v="1"/>
    <x v="0"/>
    <x v="0"/>
    <x v="4"/>
    <x v="7"/>
    <x v="394"/>
    <x v="0"/>
    <x v="9"/>
    <x v="0"/>
    <n v="68330"/>
  </r>
  <r>
    <s v="CSKU12643_2ES"/>
    <x v="2"/>
    <x v="1"/>
    <x v="0"/>
    <x v="7"/>
    <x v="4"/>
    <x v="7"/>
    <x v="394"/>
    <x v="0"/>
    <x v="9"/>
    <x v="0"/>
    <n v="71900"/>
  </r>
  <r>
    <s v="CSKU12644_2ES"/>
    <x v="2"/>
    <x v="1"/>
    <x v="0"/>
    <x v="4"/>
    <x v="1"/>
    <x v="7"/>
    <x v="394"/>
    <x v="0"/>
    <x v="9"/>
    <x v="0"/>
    <n v="76040"/>
  </r>
  <r>
    <s v="CSKU12101_2ES"/>
    <x v="2"/>
    <x v="1"/>
    <x v="0"/>
    <x v="4"/>
    <x v="4"/>
    <x v="7"/>
    <x v="395"/>
    <x v="0"/>
    <x v="9"/>
    <x v="0"/>
    <n v="55030"/>
  </r>
  <r>
    <s v="CSKU12102_2ES"/>
    <x v="2"/>
    <x v="1"/>
    <x v="0"/>
    <x v="0"/>
    <x v="4"/>
    <x v="7"/>
    <x v="395"/>
    <x v="0"/>
    <x v="9"/>
    <x v="0"/>
    <n v="58560"/>
  </r>
  <r>
    <s v="CSKU12103_2ES"/>
    <x v="2"/>
    <x v="1"/>
    <x v="0"/>
    <x v="7"/>
    <x v="4"/>
    <x v="7"/>
    <x v="395"/>
    <x v="0"/>
    <x v="9"/>
    <x v="0"/>
    <n v="62130"/>
  </r>
  <r>
    <s v="CSKU12139_2ES"/>
    <x v="2"/>
    <x v="1"/>
    <x v="0"/>
    <x v="7"/>
    <x v="4"/>
    <x v="7"/>
    <x v="149"/>
    <x v="0"/>
    <x v="9"/>
    <x v="0"/>
    <n v="59470"/>
  </r>
  <r>
    <s v="CSKU12140_2ES"/>
    <x v="2"/>
    <x v="1"/>
    <x v="0"/>
    <x v="4"/>
    <x v="1"/>
    <x v="7"/>
    <x v="149"/>
    <x v="0"/>
    <x v="9"/>
    <x v="0"/>
    <n v="60790"/>
  </r>
  <r>
    <s v="CSKU12141_2ES"/>
    <x v="2"/>
    <x v="1"/>
    <x v="0"/>
    <x v="0"/>
    <x v="1"/>
    <x v="7"/>
    <x v="149"/>
    <x v="0"/>
    <x v="9"/>
    <x v="0"/>
    <n v="64320"/>
  </r>
  <r>
    <s v="CSKU12142_2ES"/>
    <x v="2"/>
    <x v="1"/>
    <x v="0"/>
    <x v="7"/>
    <x v="1"/>
    <x v="7"/>
    <x v="149"/>
    <x v="0"/>
    <x v="9"/>
    <x v="0"/>
    <n v="67870"/>
  </r>
  <r>
    <s v="CSKU12143_2ES"/>
    <x v="2"/>
    <x v="1"/>
    <x v="1"/>
    <x v="4"/>
    <x v="4"/>
    <x v="7"/>
    <x v="149"/>
    <x v="1"/>
    <x v="9"/>
    <x v="0"/>
    <n v="56310"/>
  </r>
  <r>
    <s v="CSKU12144_2ES"/>
    <x v="2"/>
    <x v="1"/>
    <x v="1"/>
    <x v="0"/>
    <x v="4"/>
    <x v="7"/>
    <x v="149"/>
    <x v="1"/>
    <x v="9"/>
    <x v="0"/>
    <n v="60270"/>
  </r>
  <r>
    <s v="CSKU12145_2ES"/>
    <x v="2"/>
    <x v="1"/>
    <x v="1"/>
    <x v="7"/>
    <x v="4"/>
    <x v="7"/>
    <x v="149"/>
    <x v="1"/>
    <x v="9"/>
    <x v="0"/>
    <n v="64250"/>
  </r>
  <r>
    <s v="CSKU12146_2ES"/>
    <x v="2"/>
    <x v="1"/>
    <x v="1"/>
    <x v="4"/>
    <x v="1"/>
    <x v="7"/>
    <x v="149"/>
    <x v="1"/>
    <x v="9"/>
    <x v="0"/>
    <n v="65570"/>
  </r>
  <r>
    <s v="CSKU12147_2ES"/>
    <x v="2"/>
    <x v="1"/>
    <x v="1"/>
    <x v="0"/>
    <x v="1"/>
    <x v="7"/>
    <x v="149"/>
    <x v="1"/>
    <x v="9"/>
    <x v="0"/>
    <n v="69530"/>
  </r>
  <r>
    <s v="CSKU11319_2ES"/>
    <x v="2"/>
    <x v="1"/>
    <x v="1"/>
    <x v="0"/>
    <x v="1"/>
    <x v="7"/>
    <x v="143"/>
    <x v="1"/>
    <x v="9"/>
    <x v="0"/>
    <n v="61630"/>
  </r>
  <r>
    <s v="CSKU11320_2ES"/>
    <x v="2"/>
    <x v="1"/>
    <x v="1"/>
    <x v="7"/>
    <x v="1"/>
    <x v="7"/>
    <x v="143"/>
    <x v="1"/>
    <x v="9"/>
    <x v="0"/>
    <n v="65610"/>
  </r>
  <r>
    <s v="CSKU11057_2ES"/>
    <x v="2"/>
    <x v="1"/>
    <x v="0"/>
    <x v="4"/>
    <x v="4"/>
    <x v="7"/>
    <x v="396"/>
    <x v="0"/>
    <x v="9"/>
    <x v="0"/>
    <n v="52690"/>
  </r>
  <r>
    <s v="CSKU11058_2ES"/>
    <x v="2"/>
    <x v="1"/>
    <x v="0"/>
    <x v="0"/>
    <x v="4"/>
    <x v="7"/>
    <x v="396"/>
    <x v="0"/>
    <x v="9"/>
    <x v="0"/>
    <n v="56220"/>
  </r>
  <r>
    <s v="CSKU11059_2ES"/>
    <x v="2"/>
    <x v="1"/>
    <x v="0"/>
    <x v="7"/>
    <x v="4"/>
    <x v="7"/>
    <x v="396"/>
    <x v="0"/>
    <x v="9"/>
    <x v="0"/>
    <n v="59790"/>
  </r>
  <r>
    <s v="CSKU11093_2ES"/>
    <x v="2"/>
    <x v="1"/>
    <x v="0"/>
    <x v="4"/>
    <x v="4"/>
    <x v="7"/>
    <x v="397"/>
    <x v="0"/>
    <x v="9"/>
    <x v="0"/>
    <n v="48860"/>
  </r>
  <r>
    <s v="CSKU11094_2ES"/>
    <x v="2"/>
    <x v="1"/>
    <x v="0"/>
    <x v="0"/>
    <x v="4"/>
    <x v="7"/>
    <x v="397"/>
    <x v="0"/>
    <x v="9"/>
    <x v="0"/>
    <n v="52390"/>
  </r>
  <r>
    <s v="CSKU11095_2ES"/>
    <x v="2"/>
    <x v="1"/>
    <x v="0"/>
    <x v="7"/>
    <x v="4"/>
    <x v="7"/>
    <x v="397"/>
    <x v="0"/>
    <x v="9"/>
    <x v="0"/>
    <n v="55960"/>
  </r>
  <r>
    <s v="CSKU11129_2ES"/>
    <x v="2"/>
    <x v="1"/>
    <x v="0"/>
    <x v="4"/>
    <x v="4"/>
    <x v="7"/>
    <x v="398"/>
    <x v="0"/>
    <x v="9"/>
    <x v="0"/>
    <n v="56990"/>
  </r>
  <r>
    <s v="CSKU11130_2ES"/>
    <x v="2"/>
    <x v="1"/>
    <x v="0"/>
    <x v="0"/>
    <x v="4"/>
    <x v="7"/>
    <x v="398"/>
    <x v="0"/>
    <x v="9"/>
    <x v="0"/>
    <n v="60520"/>
  </r>
  <r>
    <s v="CSKU11131_2ES"/>
    <x v="2"/>
    <x v="1"/>
    <x v="0"/>
    <x v="7"/>
    <x v="4"/>
    <x v="7"/>
    <x v="398"/>
    <x v="0"/>
    <x v="9"/>
    <x v="0"/>
    <n v="64090"/>
  </r>
  <r>
    <s v="CSKU11132_2ES"/>
    <x v="2"/>
    <x v="1"/>
    <x v="0"/>
    <x v="4"/>
    <x v="1"/>
    <x v="7"/>
    <x v="398"/>
    <x v="0"/>
    <x v="9"/>
    <x v="0"/>
    <n v="66620"/>
  </r>
  <r>
    <s v="CSKU11133_2ES"/>
    <x v="2"/>
    <x v="1"/>
    <x v="0"/>
    <x v="0"/>
    <x v="1"/>
    <x v="7"/>
    <x v="398"/>
    <x v="0"/>
    <x v="9"/>
    <x v="0"/>
    <n v="70150"/>
  </r>
  <r>
    <s v="CSKU11134_2ES"/>
    <x v="2"/>
    <x v="1"/>
    <x v="0"/>
    <x v="7"/>
    <x v="1"/>
    <x v="7"/>
    <x v="398"/>
    <x v="0"/>
    <x v="9"/>
    <x v="0"/>
    <n v="73700"/>
  </r>
  <r>
    <s v="CSKU11135_2ES"/>
    <x v="2"/>
    <x v="1"/>
    <x v="1"/>
    <x v="4"/>
    <x v="4"/>
    <x v="7"/>
    <x v="398"/>
    <x v="1"/>
    <x v="9"/>
    <x v="0"/>
    <n v="60610"/>
  </r>
  <r>
    <s v="CSKU11173_2ES"/>
    <x v="2"/>
    <x v="1"/>
    <x v="1"/>
    <x v="0"/>
    <x v="4"/>
    <x v="7"/>
    <x v="142"/>
    <x v="1"/>
    <x v="9"/>
    <x v="0"/>
    <n v="64570"/>
  </r>
  <r>
    <s v="CSKU11174_2ES"/>
    <x v="2"/>
    <x v="1"/>
    <x v="1"/>
    <x v="0"/>
    <x v="1"/>
    <x v="7"/>
    <x v="142"/>
    <x v="1"/>
    <x v="9"/>
    <x v="0"/>
    <n v="75040"/>
  </r>
  <r>
    <s v="CSKU11175_2ES"/>
    <x v="2"/>
    <x v="1"/>
    <x v="1"/>
    <x v="7"/>
    <x v="4"/>
    <x v="7"/>
    <x v="142"/>
    <x v="1"/>
    <x v="9"/>
    <x v="0"/>
    <n v="68550"/>
  </r>
  <r>
    <s v="CSKU11176_2ES"/>
    <x v="2"/>
    <x v="1"/>
    <x v="1"/>
    <x v="7"/>
    <x v="1"/>
    <x v="7"/>
    <x v="142"/>
    <x v="1"/>
    <x v="9"/>
    <x v="0"/>
    <n v="79020"/>
  </r>
  <r>
    <s v="CSKU11273_2ES"/>
    <x v="2"/>
    <x v="1"/>
    <x v="0"/>
    <x v="4"/>
    <x v="4"/>
    <x v="7"/>
    <x v="399"/>
    <x v="0"/>
    <x v="9"/>
    <x v="0"/>
    <n v="49010"/>
  </r>
  <r>
    <s v="CSKU12182_2ES"/>
    <x v="2"/>
    <x v="1"/>
    <x v="1"/>
    <x v="0"/>
    <x v="1"/>
    <x v="7"/>
    <x v="150"/>
    <x v="1"/>
    <x v="9"/>
    <x v="0"/>
    <n v="78970"/>
  </r>
  <r>
    <s v="CSKU12183_2ES"/>
    <x v="2"/>
    <x v="1"/>
    <x v="1"/>
    <x v="7"/>
    <x v="4"/>
    <x v="7"/>
    <x v="150"/>
    <x v="1"/>
    <x v="9"/>
    <x v="0"/>
    <n v="72060"/>
  </r>
  <r>
    <s v="CSKU12184_2ES"/>
    <x v="2"/>
    <x v="1"/>
    <x v="1"/>
    <x v="7"/>
    <x v="1"/>
    <x v="7"/>
    <x v="150"/>
    <x v="1"/>
    <x v="9"/>
    <x v="0"/>
    <n v="82950"/>
  </r>
  <r>
    <s v="CSKU11669_2ES"/>
    <x v="2"/>
    <x v="1"/>
    <x v="0"/>
    <x v="4"/>
    <x v="4"/>
    <x v="7"/>
    <x v="400"/>
    <x v="0"/>
    <x v="9"/>
    <x v="0"/>
    <n v="73400"/>
  </r>
  <r>
    <s v="CSKU11670_2ES"/>
    <x v="2"/>
    <x v="1"/>
    <x v="0"/>
    <x v="0"/>
    <x v="4"/>
    <x v="7"/>
    <x v="400"/>
    <x v="0"/>
    <x v="9"/>
    <x v="0"/>
    <n v="76930"/>
  </r>
  <r>
    <s v="CSKU11671_2ES"/>
    <x v="2"/>
    <x v="1"/>
    <x v="0"/>
    <x v="7"/>
    <x v="4"/>
    <x v="7"/>
    <x v="400"/>
    <x v="0"/>
    <x v="9"/>
    <x v="0"/>
    <n v="80500"/>
  </r>
  <r>
    <s v="CSKU11672_2ES"/>
    <x v="2"/>
    <x v="1"/>
    <x v="0"/>
    <x v="4"/>
    <x v="1"/>
    <x v="7"/>
    <x v="400"/>
    <x v="0"/>
    <x v="9"/>
    <x v="0"/>
    <n v="87020"/>
  </r>
  <r>
    <s v="CSKU11673_2ES"/>
    <x v="2"/>
    <x v="1"/>
    <x v="0"/>
    <x v="0"/>
    <x v="1"/>
    <x v="7"/>
    <x v="400"/>
    <x v="0"/>
    <x v="9"/>
    <x v="0"/>
    <n v="90550"/>
  </r>
  <r>
    <s v="CSKU11674_2ES"/>
    <x v="2"/>
    <x v="1"/>
    <x v="0"/>
    <x v="7"/>
    <x v="1"/>
    <x v="7"/>
    <x v="400"/>
    <x v="0"/>
    <x v="9"/>
    <x v="0"/>
    <n v="94100"/>
  </r>
  <r>
    <s v="CSKU11675_2ES"/>
    <x v="2"/>
    <x v="1"/>
    <x v="1"/>
    <x v="4"/>
    <x v="4"/>
    <x v="7"/>
    <x v="400"/>
    <x v="1"/>
    <x v="9"/>
    <x v="0"/>
    <n v="77020"/>
  </r>
  <r>
    <s v="CSKU11381_2ES"/>
    <x v="2"/>
    <x v="1"/>
    <x v="0"/>
    <x v="4"/>
    <x v="4"/>
    <x v="7"/>
    <x v="401"/>
    <x v="0"/>
    <x v="9"/>
    <x v="0"/>
    <n v="49010"/>
  </r>
  <r>
    <s v="CSKU11382_2ES"/>
    <x v="2"/>
    <x v="1"/>
    <x v="0"/>
    <x v="0"/>
    <x v="4"/>
    <x v="7"/>
    <x v="401"/>
    <x v="0"/>
    <x v="9"/>
    <x v="0"/>
    <n v="52540"/>
  </r>
  <r>
    <s v="CSKU11383_2ES"/>
    <x v="2"/>
    <x v="1"/>
    <x v="0"/>
    <x v="7"/>
    <x v="4"/>
    <x v="7"/>
    <x v="401"/>
    <x v="0"/>
    <x v="9"/>
    <x v="0"/>
    <n v="56110"/>
  </r>
  <r>
    <s v="CSKU11384_2ES"/>
    <x v="2"/>
    <x v="1"/>
    <x v="0"/>
    <x v="4"/>
    <x v="1"/>
    <x v="7"/>
    <x v="401"/>
    <x v="0"/>
    <x v="9"/>
    <x v="0"/>
    <n v="57740"/>
  </r>
  <r>
    <s v="CSKU11423_2ES"/>
    <x v="2"/>
    <x v="1"/>
    <x v="1"/>
    <x v="4"/>
    <x v="4"/>
    <x v="7"/>
    <x v="144"/>
    <x v="1"/>
    <x v="9"/>
    <x v="0"/>
    <n v="53590"/>
  </r>
  <r>
    <s v="CSKU11424_2ES"/>
    <x v="2"/>
    <x v="1"/>
    <x v="1"/>
    <x v="0"/>
    <x v="4"/>
    <x v="7"/>
    <x v="144"/>
    <x v="1"/>
    <x v="9"/>
    <x v="0"/>
    <n v="57550"/>
  </r>
  <r>
    <s v="CSKU11425_2ES"/>
    <x v="2"/>
    <x v="1"/>
    <x v="1"/>
    <x v="7"/>
    <x v="4"/>
    <x v="7"/>
    <x v="144"/>
    <x v="1"/>
    <x v="9"/>
    <x v="0"/>
    <n v="61530"/>
  </r>
  <r>
    <s v="CSKU11426_2ES"/>
    <x v="2"/>
    <x v="1"/>
    <x v="1"/>
    <x v="4"/>
    <x v="1"/>
    <x v="7"/>
    <x v="144"/>
    <x v="1"/>
    <x v="9"/>
    <x v="0"/>
    <n v="63160"/>
  </r>
  <r>
    <s v="CSKU11427_2ES"/>
    <x v="2"/>
    <x v="1"/>
    <x v="1"/>
    <x v="0"/>
    <x v="1"/>
    <x v="7"/>
    <x v="144"/>
    <x v="1"/>
    <x v="9"/>
    <x v="0"/>
    <n v="67120"/>
  </r>
  <r>
    <s v="CSKU11428_2ES"/>
    <x v="2"/>
    <x v="1"/>
    <x v="1"/>
    <x v="7"/>
    <x v="1"/>
    <x v="7"/>
    <x v="144"/>
    <x v="1"/>
    <x v="9"/>
    <x v="0"/>
    <n v="71100"/>
  </r>
  <r>
    <s v="CSKU10704_2ES"/>
    <x v="2"/>
    <x v="1"/>
    <x v="1"/>
    <x v="4"/>
    <x v="1"/>
    <x v="7"/>
    <x v="138"/>
    <x v="1"/>
    <x v="9"/>
    <x v="0"/>
    <n v="75010"/>
  </r>
  <r>
    <s v="CSKU10705_2ES"/>
    <x v="2"/>
    <x v="1"/>
    <x v="1"/>
    <x v="0"/>
    <x v="4"/>
    <x v="7"/>
    <x v="138"/>
    <x v="1"/>
    <x v="9"/>
    <x v="0"/>
    <n v="68080"/>
  </r>
  <r>
    <s v="CSKU10706_2ES"/>
    <x v="2"/>
    <x v="1"/>
    <x v="1"/>
    <x v="0"/>
    <x v="1"/>
    <x v="7"/>
    <x v="138"/>
    <x v="1"/>
    <x v="9"/>
    <x v="0"/>
    <n v="78970"/>
  </r>
  <r>
    <s v="CSKU10707_2ES"/>
    <x v="2"/>
    <x v="1"/>
    <x v="1"/>
    <x v="7"/>
    <x v="4"/>
    <x v="7"/>
    <x v="138"/>
    <x v="1"/>
    <x v="9"/>
    <x v="0"/>
    <n v="72060"/>
  </r>
  <r>
    <s v="CSKU10708_2ES"/>
    <x v="2"/>
    <x v="1"/>
    <x v="1"/>
    <x v="7"/>
    <x v="1"/>
    <x v="7"/>
    <x v="138"/>
    <x v="1"/>
    <x v="9"/>
    <x v="0"/>
    <n v="82950"/>
  </r>
  <r>
    <s v="CSKU11600_2ES"/>
    <x v="2"/>
    <x v="1"/>
    <x v="0"/>
    <x v="4"/>
    <x v="1"/>
    <x v="7"/>
    <x v="145"/>
    <x v="0"/>
    <x v="9"/>
    <x v="0"/>
    <n v="80220"/>
  </r>
  <r>
    <s v="CSKU11601_2ES"/>
    <x v="2"/>
    <x v="1"/>
    <x v="0"/>
    <x v="0"/>
    <x v="1"/>
    <x v="7"/>
    <x v="145"/>
    <x v="0"/>
    <x v="9"/>
    <x v="0"/>
    <n v="83750"/>
  </r>
  <r>
    <s v="CSKU11602_2ES"/>
    <x v="2"/>
    <x v="1"/>
    <x v="0"/>
    <x v="7"/>
    <x v="1"/>
    <x v="7"/>
    <x v="145"/>
    <x v="0"/>
    <x v="9"/>
    <x v="0"/>
    <n v="87300"/>
  </r>
  <r>
    <s v="CSKU11603_2ES"/>
    <x v="2"/>
    <x v="1"/>
    <x v="1"/>
    <x v="4"/>
    <x v="4"/>
    <x v="7"/>
    <x v="145"/>
    <x v="1"/>
    <x v="9"/>
    <x v="0"/>
    <n v="71550"/>
  </r>
  <r>
    <s v="CSKU11604_2ES"/>
    <x v="2"/>
    <x v="1"/>
    <x v="1"/>
    <x v="4"/>
    <x v="1"/>
    <x v="7"/>
    <x v="145"/>
    <x v="1"/>
    <x v="9"/>
    <x v="0"/>
    <n v="84680"/>
  </r>
  <r>
    <s v="CSKU11605_2ES"/>
    <x v="2"/>
    <x v="1"/>
    <x v="1"/>
    <x v="0"/>
    <x v="4"/>
    <x v="7"/>
    <x v="145"/>
    <x v="1"/>
    <x v="9"/>
    <x v="0"/>
    <n v="75510"/>
  </r>
  <r>
    <s v="CSKU11606_2ES"/>
    <x v="2"/>
    <x v="1"/>
    <x v="1"/>
    <x v="0"/>
    <x v="1"/>
    <x v="7"/>
    <x v="145"/>
    <x v="1"/>
    <x v="9"/>
    <x v="0"/>
    <n v="88640"/>
  </r>
  <r>
    <s v="CSKU11607_2ES"/>
    <x v="2"/>
    <x v="1"/>
    <x v="1"/>
    <x v="7"/>
    <x v="4"/>
    <x v="7"/>
    <x v="145"/>
    <x v="1"/>
    <x v="9"/>
    <x v="0"/>
    <n v="79490"/>
  </r>
  <r>
    <s v="CSKU10986_2ES"/>
    <x v="2"/>
    <x v="1"/>
    <x v="0"/>
    <x v="0"/>
    <x v="4"/>
    <x v="7"/>
    <x v="141"/>
    <x v="0"/>
    <x v="9"/>
    <x v="0"/>
    <n v="72630"/>
  </r>
  <r>
    <s v="CSKU10987_2ES"/>
    <x v="2"/>
    <x v="1"/>
    <x v="0"/>
    <x v="7"/>
    <x v="4"/>
    <x v="7"/>
    <x v="141"/>
    <x v="0"/>
    <x v="9"/>
    <x v="0"/>
    <n v="76200"/>
  </r>
  <r>
    <s v="CSKU10988_2ES"/>
    <x v="2"/>
    <x v="1"/>
    <x v="0"/>
    <x v="4"/>
    <x v="1"/>
    <x v="7"/>
    <x v="141"/>
    <x v="0"/>
    <x v="9"/>
    <x v="0"/>
    <n v="81530"/>
  </r>
  <r>
    <s v="CSKU10989_2ES"/>
    <x v="2"/>
    <x v="1"/>
    <x v="0"/>
    <x v="0"/>
    <x v="1"/>
    <x v="7"/>
    <x v="141"/>
    <x v="0"/>
    <x v="9"/>
    <x v="0"/>
    <n v="85060"/>
  </r>
  <r>
    <s v="CSKU10990_2ES"/>
    <x v="2"/>
    <x v="1"/>
    <x v="0"/>
    <x v="7"/>
    <x v="1"/>
    <x v="7"/>
    <x v="141"/>
    <x v="0"/>
    <x v="9"/>
    <x v="0"/>
    <n v="88610"/>
  </r>
  <r>
    <s v="CSKU10991_2ES"/>
    <x v="2"/>
    <x v="1"/>
    <x v="1"/>
    <x v="4"/>
    <x v="4"/>
    <x v="7"/>
    <x v="141"/>
    <x v="1"/>
    <x v="9"/>
    <x v="0"/>
    <n v="72720"/>
  </r>
  <r>
    <s v="CSKU10992_2ES"/>
    <x v="2"/>
    <x v="1"/>
    <x v="1"/>
    <x v="4"/>
    <x v="1"/>
    <x v="7"/>
    <x v="141"/>
    <x v="1"/>
    <x v="9"/>
    <x v="0"/>
    <n v="85990"/>
  </r>
  <r>
    <s v="CSKU10888_2ES"/>
    <x v="2"/>
    <x v="1"/>
    <x v="1"/>
    <x v="7"/>
    <x v="1"/>
    <x v="7"/>
    <x v="139"/>
    <x v="1"/>
    <x v="9"/>
    <x v="0"/>
    <n v="99420"/>
  </r>
  <r>
    <s v="CSKU10956_2ES"/>
    <x v="2"/>
    <x v="1"/>
    <x v="1"/>
    <x v="4"/>
    <x v="1"/>
    <x v="7"/>
    <x v="140"/>
    <x v="1"/>
    <x v="9"/>
    <x v="0"/>
    <n v="91480"/>
  </r>
  <r>
    <s v="CSKU10957_2ES"/>
    <x v="2"/>
    <x v="1"/>
    <x v="1"/>
    <x v="0"/>
    <x v="4"/>
    <x v="7"/>
    <x v="140"/>
    <x v="1"/>
    <x v="9"/>
    <x v="0"/>
    <n v="80980"/>
  </r>
  <r>
    <s v="CSKU10958_2ES"/>
    <x v="2"/>
    <x v="1"/>
    <x v="1"/>
    <x v="0"/>
    <x v="1"/>
    <x v="7"/>
    <x v="140"/>
    <x v="1"/>
    <x v="9"/>
    <x v="0"/>
    <n v="95440"/>
  </r>
  <r>
    <s v="CSKU10959_2ES"/>
    <x v="2"/>
    <x v="1"/>
    <x v="1"/>
    <x v="7"/>
    <x v="4"/>
    <x v="7"/>
    <x v="140"/>
    <x v="1"/>
    <x v="9"/>
    <x v="0"/>
    <n v="84960"/>
  </r>
  <r>
    <s v="CSKU10960_2ES"/>
    <x v="2"/>
    <x v="1"/>
    <x v="1"/>
    <x v="7"/>
    <x v="1"/>
    <x v="7"/>
    <x v="140"/>
    <x v="1"/>
    <x v="9"/>
    <x v="0"/>
    <n v="99420"/>
  </r>
  <r>
    <s v="CSKU10193_2ES"/>
    <x v="2"/>
    <x v="1"/>
    <x v="0"/>
    <x v="4"/>
    <x v="4"/>
    <x v="7"/>
    <x v="402"/>
    <x v="0"/>
    <x v="9"/>
    <x v="0"/>
    <n v="60500"/>
  </r>
  <r>
    <s v="CSKU10194_2ES"/>
    <x v="2"/>
    <x v="1"/>
    <x v="0"/>
    <x v="0"/>
    <x v="4"/>
    <x v="7"/>
    <x v="402"/>
    <x v="0"/>
    <x v="9"/>
    <x v="0"/>
    <n v="64030"/>
  </r>
  <r>
    <s v="CSKU10049_2ES"/>
    <x v="2"/>
    <x v="1"/>
    <x v="0"/>
    <x v="4"/>
    <x v="4"/>
    <x v="7"/>
    <x v="403"/>
    <x v="0"/>
    <x v="9"/>
    <x v="0"/>
    <n v="56200"/>
  </r>
  <r>
    <s v="CSKU10085_2ES"/>
    <x v="2"/>
    <x v="1"/>
    <x v="0"/>
    <x v="4"/>
    <x v="4"/>
    <x v="7"/>
    <x v="404"/>
    <x v="0"/>
    <x v="9"/>
    <x v="0"/>
    <n v="60500"/>
  </r>
  <r>
    <s v="CSKU10086_2ES"/>
    <x v="2"/>
    <x v="1"/>
    <x v="0"/>
    <x v="0"/>
    <x v="4"/>
    <x v="7"/>
    <x v="404"/>
    <x v="0"/>
    <x v="9"/>
    <x v="0"/>
    <n v="64030"/>
  </r>
  <r>
    <s v="CSKU10087_2ES"/>
    <x v="2"/>
    <x v="1"/>
    <x v="0"/>
    <x v="7"/>
    <x v="4"/>
    <x v="7"/>
    <x v="404"/>
    <x v="0"/>
    <x v="9"/>
    <x v="0"/>
    <n v="67600"/>
  </r>
  <r>
    <s v="CSKU10088_2ES"/>
    <x v="2"/>
    <x v="1"/>
    <x v="0"/>
    <x v="4"/>
    <x v="1"/>
    <x v="7"/>
    <x v="404"/>
    <x v="0"/>
    <x v="9"/>
    <x v="0"/>
    <n v="70550"/>
  </r>
  <r>
    <s v="CSKU10089_2ES"/>
    <x v="2"/>
    <x v="1"/>
    <x v="0"/>
    <x v="0"/>
    <x v="1"/>
    <x v="7"/>
    <x v="404"/>
    <x v="0"/>
    <x v="9"/>
    <x v="0"/>
    <n v="74080"/>
  </r>
  <r>
    <s v="CSKU10090_2ES"/>
    <x v="2"/>
    <x v="1"/>
    <x v="0"/>
    <x v="7"/>
    <x v="1"/>
    <x v="7"/>
    <x v="404"/>
    <x v="0"/>
    <x v="9"/>
    <x v="0"/>
    <n v="77630"/>
  </r>
  <r>
    <s v="CSKU10091_2ES"/>
    <x v="2"/>
    <x v="1"/>
    <x v="1"/>
    <x v="4"/>
    <x v="4"/>
    <x v="7"/>
    <x v="404"/>
    <x v="1"/>
    <x v="9"/>
    <x v="0"/>
    <n v="64120"/>
  </r>
  <r>
    <s v="CSKU10121_2ES"/>
    <x v="2"/>
    <x v="1"/>
    <x v="0"/>
    <x v="4"/>
    <x v="4"/>
    <x v="7"/>
    <x v="405"/>
    <x v="0"/>
    <x v="9"/>
    <x v="0"/>
    <n v="55030"/>
  </r>
  <r>
    <s v="CSKU10122_2ES"/>
    <x v="2"/>
    <x v="1"/>
    <x v="0"/>
    <x v="0"/>
    <x v="4"/>
    <x v="7"/>
    <x v="405"/>
    <x v="0"/>
    <x v="9"/>
    <x v="0"/>
    <n v="58560"/>
  </r>
  <r>
    <s v="CSKU10123_2ES"/>
    <x v="2"/>
    <x v="1"/>
    <x v="0"/>
    <x v="7"/>
    <x v="4"/>
    <x v="7"/>
    <x v="405"/>
    <x v="0"/>
    <x v="9"/>
    <x v="0"/>
    <n v="62130"/>
  </r>
  <r>
    <s v="CSKU10124_2ES"/>
    <x v="2"/>
    <x v="1"/>
    <x v="0"/>
    <x v="4"/>
    <x v="1"/>
    <x v="7"/>
    <x v="405"/>
    <x v="0"/>
    <x v="9"/>
    <x v="0"/>
    <n v="63750"/>
  </r>
  <r>
    <s v="CSKU10157_2ES"/>
    <x v="2"/>
    <x v="1"/>
    <x v="0"/>
    <x v="4"/>
    <x v="4"/>
    <x v="7"/>
    <x v="406"/>
    <x v="0"/>
    <x v="9"/>
    <x v="0"/>
    <n v="52370"/>
  </r>
  <r>
    <s v="CSKU10158_2ES"/>
    <x v="2"/>
    <x v="1"/>
    <x v="0"/>
    <x v="0"/>
    <x v="4"/>
    <x v="7"/>
    <x v="406"/>
    <x v="0"/>
    <x v="9"/>
    <x v="0"/>
    <n v="55900"/>
  </r>
  <r>
    <s v="CSKU10159_2ES"/>
    <x v="2"/>
    <x v="1"/>
    <x v="0"/>
    <x v="7"/>
    <x v="4"/>
    <x v="7"/>
    <x v="406"/>
    <x v="0"/>
    <x v="9"/>
    <x v="0"/>
    <n v="59470"/>
  </r>
  <r>
    <s v="CSKU10160_2ES"/>
    <x v="2"/>
    <x v="1"/>
    <x v="0"/>
    <x v="4"/>
    <x v="1"/>
    <x v="7"/>
    <x v="406"/>
    <x v="0"/>
    <x v="9"/>
    <x v="0"/>
    <n v="60790"/>
  </r>
  <r>
    <s v="CSKU11633_2ES"/>
    <x v="2"/>
    <x v="1"/>
    <x v="0"/>
    <x v="4"/>
    <x v="4"/>
    <x v="7"/>
    <x v="407"/>
    <x v="0"/>
    <x v="9"/>
    <x v="0"/>
    <n v="65270"/>
  </r>
  <r>
    <s v="CSKU11634_2ES"/>
    <x v="2"/>
    <x v="1"/>
    <x v="0"/>
    <x v="0"/>
    <x v="4"/>
    <x v="7"/>
    <x v="407"/>
    <x v="0"/>
    <x v="9"/>
    <x v="0"/>
    <n v="68800"/>
  </r>
  <r>
    <s v="CSKU11635_2ES"/>
    <x v="2"/>
    <x v="1"/>
    <x v="0"/>
    <x v="7"/>
    <x v="4"/>
    <x v="7"/>
    <x v="407"/>
    <x v="0"/>
    <x v="9"/>
    <x v="0"/>
    <n v="72370"/>
  </r>
  <r>
    <s v="CSKU11636_2ES"/>
    <x v="2"/>
    <x v="1"/>
    <x v="0"/>
    <x v="4"/>
    <x v="1"/>
    <x v="7"/>
    <x v="407"/>
    <x v="0"/>
    <x v="9"/>
    <x v="0"/>
    <n v="77260"/>
  </r>
  <r>
    <s v="CSKU11637_2ES"/>
    <x v="2"/>
    <x v="1"/>
    <x v="0"/>
    <x v="0"/>
    <x v="1"/>
    <x v="7"/>
    <x v="407"/>
    <x v="0"/>
    <x v="9"/>
    <x v="0"/>
    <n v="80790"/>
  </r>
  <r>
    <s v="CSKU11638_2ES"/>
    <x v="2"/>
    <x v="1"/>
    <x v="0"/>
    <x v="7"/>
    <x v="1"/>
    <x v="7"/>
    <x v="407"/>
    <x v="0"/>
    <x v="9"/>
    <x v="0"/>
    <n v="84340"/>
  </r>
  <r>
    <s v="CSKU11639_2ES"/>
    <x v="2"/>
    <x v="1"/>
    <x v="1"/>
    <x v="4"/>
    <x v="4"/>
    <x v="7"/>
    <x v="407"/>
    <x v="1"/>
    <x v="9"/>
    <x v="0"/>
    <n v="69210"/>
  </r>
  <r>
    <s v="CSKU11640_2ES"/>
    <x v="2"/>
    <x v="1"/>
    <x v="1"/>
    <x v="0"/>
    <x v="4"/>
    <x v="7"/>
    <x v="407"/>
    <x v="1"/>
    <x v="9"/>
    <x v="0"/>
    <n v="73170"/>
  </r>
  <r>
    <s v="CSKU10445_2ES"/>
    <x v="2"/>
    <x v="1"/>
    <x v="0"/>
    <x v="4"/>
    <x v="4"/>
    <x v="7"/>
    <x v="408"/>
    <x v="0"/>
    <x v="9"/>
    <x v="0"/>
    <n v="73400"/>
  </r>
  <r>
    <s v="CSKU10446_2ES"/>
    <x v="2"/>
    <x v="1"/>
    <x v="0"/>
    <x v="0"/>
    <x v="4"/>
    <x v="7"/>
    <x v="408"/>
    <x v="0"/>
    <x v="9"/>
    <x v="0"/>
    <n v="76930"/>
  </r>
  <r>
    <s v="CSKU10447_2ES"/>
    <x v="2"/>
    <x v="1"/>
    <x v="0"/>
    <x v="7"/>
    <x v="4"/>
    <x v="7"/>
    <x v="408"/>
    <x v="0"/>
    <x v="9"/>
    <x v="0"/>
    <n v="80500"/>
  </r>
  <r>
    <s v="CSKU10229_2ES"/>
    <x v="2"/>
    <x v="1"/>
    <x v="0"/>
    <x v="4"/>
    <x v="4"/>
    <x v="7"/>
    <x v="409"/>
    <x v="0"/>
    <x v="9"/>
    <x v="0"/>
    <n v="60500"/>
  </r>
  <r>
    <s v="CSKU10230_2ES"/>
    <x v="2"/>
    <x v="1"/>
    <x v="0"/>
    <x v="0"/>
    <x v="4"/>
    <x v="7"/>
    <x v="409"/>
    <x v="0"/>
    <x v="9"/>
    <x v="0"/>
    <n v="64030"/>
  </r>
  <r>
    <s v="CSKU10231_2ES"/>
    <x v="2"/>
    <x v="1"/>
    <x v="0"/>
    <x v="7"/>
    <x v="4"/>
    <x v="7"/>
    <x v="409"/>
    <x v="0"/>
    <x v="9"/>
    <x v="0"/>
    <n v="67600"/>
  </r>
  <r>
    <s v="CSKU10232_2ES"/>
    <x v="2"/>
    <x v="1"/>
    <x v="0"/>
    <x v="4"/>
    <x v="1"/>
    <x v="7"/>
    <x v="409"/>
    <x v="0"/>
    <x v="9"/>
    <x v="0"/>
    <n v="70550"/>
  </r>
  <r>
    <s v="CSKU10233_2ES"/>
    <x v="2"/>
    <x v="1"/>
    <x v="0"/>
    <x v="0"/>
    <x v="1"/>
    <x v="7"/>
    <x v="409"/>
    <x v="0"/>
    <x v="9"/>
    <x v="0"/>
    <n v="74080"/>
  </r>
  <r>
    <s v="CSKU10234_2ES"/>
    <x v="2"/>
    <x v="1"/>
    <x v="0"/>
    <x v="7"/>
    <x v="1"/>
    <x v="7"/>
    <x v="409"/>
    <x v="0"/>
    <x v="9"/>
    <x v="0"/>
    <n v="77630"/>
  </r>
  <r>
    <s v="CSKU10235_2ES"/>
    <x v="2"/>
    <x v="1"/>
    <x v="1"/>
    <x v="4"/>
    <x v="4"/>
    <x v="7"/>
    <x v="409"/>
    <x v="1"/>
    <x v="9"/>
    <x v="0"/>
    <n v="64120"/>
  </r>
  <r>
    <s v="CSKU10236_2ES"/>
    <x v="2"/>
    <x v="1"/>
    <x v="1"/>
    <x v="4"/>
    <x v="1"/>
    <x v="7"/>
    <x v="409"/>
    <x v="1"/>
    <x v="9"/>
    <x v="0"/>
    <n v="75010"/>
  </r>
  <r>
    <s v="CSKU10271_2ES"/>
    <x v="2"/>
    <x v="1"/>
    <x v="1"/>
    <x v="4"/>
    <x v="4"/>
    <x v="7"/>
    <x v="133"/>
    <x v="1"/>
    <x v="9"/>
    <x v="0"/>
    <n v="64120"/>
  </r>
  <r>
    <s v="CSKU10272_2ES"/>
    <x v="2"/>
    <x v="1"/>
    <x v="1"/>
    <x v="4"/>
    <x v="1"/>
    <x v="7"/>
    <x v="133"/>
    <x v="1"/>
    <x v="9"/>
    <x v="0"/>
    <n v="75010"/>
  </r>
  <r>
    <s v="CSKU10273_2ES"/>
    <x v="2"/>
    <x v="1"/>
    <x v="1"/>
    <x v="0"/>
    <x v="4"/>
    <x v="7"/>
    <x v="133"/>
    <x v="1"/>
    <x v="9"/>
    <x v="0"/>
    <n v="68080"/>
  </r>
  <r>
    <s v="CSKU10274_2ES"/>
    <x v="2"/>
    <x v="1"/>
    <x v="1"/>
    <x v="0"/>
    <x v="1"/>
    <x v="7"/>
    <x v="133"/>
    <x v="1"/>
    <x v="9"/>
    <x v="0"/>
    <n v="78970"/>
  </r>
  <r>
    <s v="CSKU10275_2ES"/>
    <x v="2"/>
    <x v="1"/>
    <x v="1"/>
    <x v="7"/>
    <x v="4"/>
    <x v="7"/>
    <x v="133"/>
    <x v="1"/>
    <x v="9"/>
    <x v="0"/>
    <n v="72060"/>
  </r>
  <r>
    <s v="CSKU10276_2ES"/>
    <x v="2"/>
    <x v="1"/>
    <x v="1"/>
    <x v="7"/>
    <x v="1"/>
    <x v="7"/>
    <x v="133"/>
    <x v="1"/>
    <x v="9"/>
    <x v="0"/>
    <n v="82950"/>
  </r>
  <r>
    <s v="CSKU10312_2ES"/>
    <x v="2"/>
    <x v="1"/>
    <x v="1"/>
    <x v="7"/>
    <x v="1"/>
    <x v="7"/>
    <x v="134"/>
    <x v="1"/>
    <x v="9"/>
    <x v="0"/>
    <n v="99420"/>
  </r>
  <r>
    <s v="CSKU10380_2ES"/>
    <x v="2"/>
    <x v="1"/>
    <x v="1"/>
    <x v="4"/>
    <x v="1"/>
    <x v="7"/>
    <x v="135"/>
    <x v="1"/>
    <x v="9"/>
    <x v="0"/>
    <n v="84680"/>
  </r>
  <r>
    <s v="CSKU10381_2ES"/>
    <x v="2"/>
    <x v="1"/>
    <x v="1"/>
    <x v="0"/>
    <x v="4"/>
    <x v="7"/>
    <x v="135"/>
    <x v="1"/>
    <x v="9"/>
    <x v="0"/>
    <n v="75510"/>
  </r>
  <r>
    <s v="CSKU10382_2ES"/>
    <x v="2"/>
    <x v="1"/>
    <x v="1"/>
    <x v="0"/>
    <x v="1"/>
    <x v="7"/>
    <x v="135"/>
    <x v="1"/>
    <x v="9"/>
    <x v="0"/>
    <n v="88640"/>
  </r>
  <r>
    <s v="CSKU10383_2ES"/>
    <x v="2"/>
    <x v="1"/>
    <x v="1"/>
    <x v="7"/>
    <x v="4"/>
    <x v="7"/>
    <x v="135"/>
    <x v="1"/>
    <x v="9"/>
    <x v="0"/>
    <n v="79490"/>
  </r>
  <r>
    <s v="CSKU10384_2ES"/>
    <x v="2"/>
    <x v="1"/>
    <x v="1"/>
    <x v="7"/>
    <x v="1"/>
    <x v="7"/>
    <x v="135"/>
    <x v="1"/>
    <x v="9"/>
    <x v="0"/>
    <n v="92620"/>
  </r>
  <r>
    <s v="CSKU10411_2ES"/>
    <x v="2"/>
    <x v="1"/>
    <x v="0"/>
    <x v="7"/>
    <x v="4"/>
    <x v="7"/>
    <x v="136"/>
    <x v="0"/>
    <x v="9"/>
    <x v="0"/>
    <n v="80500"/>
  </r>
  <r>
    <s v="CSKU10412_2ES"/>
    <x v="2"/>
    <x v="1"/>
    <x v="0"/>
    <x v="4"/>
    <x v="1"/>
    <x v="7"/>
    <x v="136"/>
    <x v="0"/>
    <x v="9"/>
    <x v="0"/>
    <n v="87020"/>
  </r>
  <r>
    <s v="CSKU10413_2ES"/>
    <x v="2"/>
    <x v="1"/>
    <x v="0"/>
    <x v="0"/>
    <x v="1"/>
    <x v="7"/>
    <x v="136"/>
    <x v="0"/>
    <x v="9"/>
    <x v="0"/>
    <n v="90550"/>
  </r>
  <r>
    <s v="CSKU10414_2ES"/>
    <x v="2"/>
    <x v="1"/>
    <x v="0"/>
    <x v="7"/>
    <x v="1"/>
    <x v="7"/>
    <x v="136"/>
    <x v="0"/>
    <x v="9"/>
    <x v="0"/>
    <n v="94100"/>
  </r>
  <r>
    <s v="CSKU10415_2ES"/>
    <x v="2"/>
    <x v="1"/>
    <x v="1"/>
    <x v="4"/>
    <x v="4"/>
    <x v="7"/>
    <x v="136"/>
    <x v="1"/>
    <x v="9"/>
    <x v="0"/>
    <n v="77020"/>
  </r>
  <r>
    <s v="CSKU10416_2ES"/>
    <x v="2"/>
    <x v="1"/>
    <x v="1"/>
    <x v="4"/>
    <x v="1"/>
    <x v="7"/>
    <x v="136"/>
    <x v="1"/>
    <x v="9"/>
    <x v="0"/>
    <n v="91480"/>
  </r>
  <r>
    <s v="CSKU10417_2ES"/>
    <x v="2"/>
    <x v="1"/>
    <x v="1"/>
    <x v="0"/>
    <x v="4"/>
    <x v="7"/>
    <x v="136"/>
    <x v="1"/>
    <x v="9"/>
    <x v="0"/>
    <n v="80980"/>
  </r>
  <r>
    <s v="CSKU09480_2ES"/>
    <x v="2"/>
    <x v="1"/>
    <x v="1"/>
    <x v="0"/>
    <x v="4"/>
    <x v="7"/>
    <x v="130"/>
    <x v="1"/>
    <x v="9"/>
    <x v="0"/>
    <n v="57550"/>
  </r>
  <r>
    <s v="CSKU09481_2ES"/>
    <x v="2"/>
    <x v="1"/>
    <x v="1"/>
    <x v="7"/>
    <x v="4"/>
    <x v="7"/>
    <x v="130"/>
    <x v="1"/>
    <x v="9"/>
    <x v="0"/>
    <n v="61530"/>
  </r>
  <r>
    <s v="CSKU09482_2ES"/>
    <x v="2"/>
    <x v="1"/>
    <x v="1"/>
    <x v="4"/>
    <x v="1"/>
    <x v="7"/>
    <x v="130"/>
    <x v="1"/>
    <x v="9"/>
    <x v="0"/>
    <n v="63160"/>
  </r>
  <r>
    <s v="CSKU09483_2ES"/>
    <x v="2"/>
    <x v="1"/>
    <x v="1"/>
    <x v="0"/>
    <x v="1"/>
    <x v="7"/>
    <x v="130"/>
    <x v="1"/>
    <x v="9"/>
    <x v="0"/>
    <n v="67120"/>
  </r>
  <r>
    <s v="CSKU09484_2ES"/>
    <x v="2"/>
    <x v="1"/>
    <x v="1"/>
    <x v="7"/>
    <x v="1"/>
    <x v="7"/>
    <x v="130"/>
    <x v="1"/>
    <x v="9"/>
    <x v="0"/>
    <n v="71100"/>
  </r>
  <r>
    <s v="CSKU11021_2ES"/>
    <x v="2"/>
    <x v="1"/>
    <x v="0"/>
    <x v="4"/>
    <x v="4"/>
    <x v="7"/>
    <x v="410"/>
    <x v="0"/>
    <x v="9"/>
    <x v="0"/>
    <n v="56990"/>
  </r>
  <r>
    <s v="CSKU11022_2ES"/>
    <x v="2"/>
    <x v="1"/>
    <x v="0"/>
    <x v="0"/>
    <x v="4"/>
    <x v="7"/>
    <x v="410"/>
    <x v="0"/>
    <x v="9"/>
    <x v="0"/>
    <n v="60520"/>
  </r>
  <r>
    <s v="CSKU11023_2ES"/>
    <x v="2"/>
    <x v="1"/>
    <x v="0"/>
    <x v="7"/>
    <x v="4"/>
    <x v="7"/>
    <x v="410"/>
    <x v="0"/>
    <x v="9"/>
    <x v="0"/>
    <n v="64090"/>
  </r>
  <r>
    <s v="CSKU09905_2ES"/>
    <x v="2"/>
    <x v="1"/>
    <x v="0"/>
    <x v="4"/>
    <x v="4"/>
    <x v="7"/>
    <x v="411"/>
    <x v="0"/>
    <x v="9"/>
    <x v="0"/>
    <n v="73400"/>
  </r>
  <r>
    <s v="CSKU09906_2ES"/>
    <x v="2"/>
    <x v="1"/>
    <x v="0"/>
    <x v="0"/>
    <x v="4"/>
    <x v="7"/>
    <x v="411"/>
    <x v="0"/>
    <x v="9"/>
    <x v="0"/>
    <n v="76930"/>
  </r>
  <r>
    <s v="CSKU09617_2ES"/>
    <x v="2"/>
    <x v="1"/>
    <x v="0"/>
    <x v="4"/>
    <x v="4"/>
    <x v="7"/>
    <x v="412"/>
    <x v="0"/>
    <x v="9"/>
    <x v="0"/>
    <n v="67930"/>
  </r>
  <r>
    <s v="CSKU09618_2ES"/>
    <x v="2"/>
    <x v="1"/>
    <x v="0"/>
    <x v="0"/>
    <x v="4"/>
    <x v="7"/>
    <x v="412"/>
    <x v="0"/>
    <x v="9"/>
    <x v="0"/>
    <n v="71460"/>
  </r>
  <r>
    <s v="CSKU09619_2ES"/>
    <x v="2"/>
    <x v="1"/>
    <x v="0"/>
    <x v="7"/>
    <x v="4"/>
    <x v="7"/>
    <x v="412"/>
    <x v="0"/>
    <x v="9"/>
    <x v="0"/>
    <n v="75030"/>
  </r>
  <r>
    <s v="CSKU09654_2ES"/>
    <x v="2"/>
    <x v="1"/>
    <x v="0"/>
    <x v="0"/>
    <x v="4"/>
    <x v="7"/>
    <x v="131"/>
    <x v="0"/>
    <x v="9"/>
    <x v="0"/>
    <n v="68800"/>
  </r>
  <r>
    <s v="CSKU09655_2ES"/>
    <x v="2"/>
    <x v="1"/>
    <x v="0"/>
    <x v="7"/>
    <x v="4"/>
    <x v="7"/>
    <x v="131"/>
    <x v="0"/>
    <x v="9"/>
    <x v="0"/>
    <n v="72370"/>
  </r>
  <r>
    <s v="CSKU09656_2ES"/>
    <x v="2"/>
    <x v="1"/>
    <x v="0"/>
    <x v="4"/>
    <x v="1"/>
    <x v="7"/>
    <x v="131"/>
    <x v="0"/>
    <x v="9"/>
    <x v="0"/>
    <n v="77260"/>
  </r>
  <r>
    <s v="CSKU09657_2ES"/>
    <x v="2"/>
    <x v="1"/>
    <x v="0"/>
    <x v="0"/>
    <x v="1"/>
    <x v="7"/>
    <x v="131"/>
    <x v="0"/>
    <x v="9"/>
    <x v="0"/>
    <n v="80790"/>
  </r>
  <r>
    <s v="CSKU09658_2ES"/>
    <x v="2"/>
    <x v="1"/>
    <x v="0"/>
    <x v="7"/>
    <x v="1"/>
    <x v="7"/>
    <x v="131"/>
    <x v="0"/>
    <x v="9"/>
    <x v="0"/>
    <n v="84340"/>
  </r>
  <r>
    <s v="CSKU09659_2ES"/>
    <x v="2"/>
    <x v="1"/>
    <x v="1"/>
    <x v="4"/>
    <x v="4"/>
    <x v="7"/>
    <x v="131"/>
    <x v="1"/>
    <x v="9"/>
    <x v="0"/>
    <n v="69210"/>
  </r>
  <r>
    <s v="CSKU09660_2ES"/>
    <x v="2"/>
    <x v="1"/>
    <x v="1"/>
    <x v="0"/>
    <x v="4"/>
    <x v="7"/>
    <x v="131"/>
    <x v="1"/>
    <x v="9"/>
    <x v="0"/>
    <n v="73170"/>
  </r>
  <r>
    <s v="CSKU09661_2ES"/>
    <x v="2"/>
    <x v="1"/>
    <x v="1"/>
    <x v="7"/>
    <x v="4"/>
    <x v="7"/>
    <x v="131"/>
    <x v="1"/>
    <x v="9"/>
    <x v="0"/>
    <n v="77150"/>
  </r>
  <r>
    <s v="CSKU09698_2ES"/>
    <x v="2"/>
    <x v="1"/>
    <x v="1"/>
    <x v="0"/>
    <x v="1"/>
    <x v="7"/>
    <x v="132"/>
    <x v="1"/>
    <x v="9"/>
    <x v="0"/>
    <n v="95440"/>
  </r>
  <r>
    <s v="CSKU09699_2ES"/>
    <x v="2"/>
    <x v="1"/>
    <x v="1"/>
    <x v="7"/>
    <x v="4"/>
    <x v="7"/>
    <x v="132"/>
    <x v="1"/>
    <x v="9"/>
    <x v="0"/>
    <n v="84960"/>
  </r>
  <r>
    <s v="CSKU09700_2ES"/>
    <x v="2"/>
    <x v="1"/>
    <x v="1"/>
    <x v="7"/>
    <x v="1"/>
    <x v="7"/>
    <x v="132"/>
    <x v="1"/>
    <x v="9"/>
    <x v="0"/>
    <n v="99420"/>
  </r>
  <r>
    <s v="CSKU09833_2ES"/>
    <x v="2"/>
    <x v="1"/>
    <x v="0"/>
    <x v="4"/>
    <x v="4"/>
    <x v="7"/>
    <x v="413"/>
    <x v="0"/>
    <x v="9"/>
    <x v="0"/>
    <n v="67930"/>
  </r>
  <r>
    <s v="CSKU09834_2ES"/>
    <x v="2"/>
    <x v="1"/>
    <x v="0"/>
    <x v="0"/>
    <x v="4"/>
    <x v="7"/>
    <x v="413"/>
    <x v="0"/>
    <x v="9"/>
    <x v="0"/>
    <n v="71460"/>
  </r>
  <r>
    <s v="CSKU09835_2ES"/>
    <x v="2"/>
    <x v="1"/>
    <x v="0"/>
    <x v="7"/>
    <x v="4"/>
    <x v="7"/>
    <x v="413"/>
    <x v="0"/>
    <x v="9"/>
    <x v="0"/>
    <n v="75030"/>
  </r>
  <r>
    <s v="CSKU09836_2ES"/>
    <x v="2"/>
    <x v="1"/>
    <x v="0"/>
    <x v="4"/>
    <x v="1"/>
    <x v="7"/>
    <x v="413"/>
    <x v="0"/>
    <x v="9"/>
    <x v="0"/>
    <n v="80220"/>
  </r>
  <r>
    <s v="CSKU09837_2ES"/>
    <x v="2"/>
    <x v="1"/>
    <x v="0"/>
    <x v="0"/>
    <x v="1"/>
    <x v="7"/>
    <x v="413"/>
    <x v="0"/>
    <x v="9"/>
    <x v="0"/>
    <n v="83750"/>
  </r>
  <r>
    <s v="CSKU09838_2ES"/>
    <x v="2"/>
    <x v="1"/>
    <x v="0"/>
    <x v="7"/>
    <x v="1"/>
    <x v="7"/>
    <x v="413"/>
    <x v="0"/>
    <x v="9"/>
    <x v="0"/>
    <n v="87300"/>
  </r>
  <r>
    <s v="CSKU09869_2ES"/>
    <x v="2"/>
    <x v="1"/>
    <x v="0"/>
    <x v="4"/>
    <x v="4"/>
    <x v="7"/>
    <x v="414"/>
    <x v="0"/>
    <x v="9"/>
    <x v="0"/>
    <n v="65270"/>
  </r>
  <r>
    <s v="CSKU09870_2ES"/>
    <x v="2"/>
    <x v="1"/>
    <x v="0"/>
    <x v="0"/>
    <x v="4"/>
    <x v="7"/>
    <x v="414"/>
    <x v="0"/>
    <x v="9"/>
    <x v="0"/>
    <n v="68800"/>
  </r>
  <r>
    <s v="CSKU09871_2ES"/>
    <x v="2"/>
    <x v="1"/>
    <x v="0"/>
    <x v="7"/>
    <x v="4"/>
    <x v="7"/>
    <x v="414"/>
    <x v="0"/>
    <x v="9"/>
    <x v="0"/>
    <n v="72370"/>
  </r>
  <r>
    <s v="CSKU08653_2ES"/>
    <x v="2"/>
    <x v="1"/>
    <x v="1"/>
    <x v="0"/>
    <x v="4"/>
    <x v="7"/>
    <x v="124"/>
    <x v="1"/>
    <x v="9"/>
    <x v="0"/>
    <n v="68080"/>
  </r>
  <r>
    <s v="CSKU08654_2ES"/>
    <x v="2"/>
    <x v="1"/>
    <x v="1"/>
    <x v="0"/>
    <x v="1"/>
    <x v="7"/>
    <x v="124"/>
    <x v="1"/>
    <x v="9"/>
    <x v="0"/>
    <n v="78970"/>
  </r>
  <r>
    <s v="CSKU08655_2ES"/>
    <x v="2"/>
    <x v="1"/>
    <x v="1"/>
    <x v="7"/>
    <x v="4"/>
    <x v="7"/>
    <x v="124"/>
    <x v="1"/>
    <x v="9"/>
    <x v="0"/>
    <n v="72060"/>
  </r>
  <r>
    <s v="CSKU08656_2ES"/>
    <x v="2"/>
    <x v="1"/>
    <x v="1"/>
    <x v="7"/>
    <x v="1"/>
    <x v="7"/>
    <x v="124"/>
    <x v="1"/>
    <x v="9"/>
    <x v="0"/>
    <n v="82950"/>
  </r>
  <r>
    <s v="CSKU08721_2ES"/>
    <x v="2"/>
    <x v="1"/>
    <x v="0"/>
    <x v="0"/>
    <x v="1"/>
    <x v="7"/>
    <x v="125"/>
    <x v="0"/>
    <x v="9"/>
    <x v="0"/>
    <n v="68590"/>
  </r>
  <r>
    <s v="CSKU08722_2ES"/>
    <x v="2"/>
    <x v="1"/>
    <x v="0"/>
    <x v="7"/>
    <x v="1"/>
    <x v="7"/>
    <x v="125"/>
    <x v="0"/>
    <x v="9"/>
    <x v="0"/>
    <n v="72140"/>
  </r>
  <r>
    <s v="CSKU08723_2ES"/>
    <x v="2"/>
    <x v="1"/>
    <x v="1"/>
    <x v="4"/>
    <x v="4"/>
    <x v="7"/>
    <x v="125"/>
    <x v="1"/>
    <x v="9"/>
    <x v="0"/>
    <n v="59820"/>
  </r>
  <r>
    <s v="CSKU08724_2ES"/>
    <x v="2"/>
    <x v="1"/>
    <x v="1"/>
    <x v="4"/>
    <x v="1"/>
    <x v="7"/>
    <x v="125"/>
    <x v="1"/>
    <x v="9"/>
    <x v="0"/>
    <n v="69520"/>
  </r>
  <r>
    <s v="CSKU08725_2ES"/>
    <x v="2"/>
    <x v="1"/>
    <x v="1"/>
    <x v="0"/>
    <x v="4"/>
    <x v="7"/>
    <x v="125"/>
    <x v="1"/>
    <x v="9"/>
    <x v="0"/>
    <n v="63780"/>
  </r>
  <r>
    <s v="CSKU08726_2ES"/>
    <x v="2"/>
    <x v="1"/>
    <x v="1"/>
    <x v="0"/>
    <x v="1"/>
    <x v="7"/>
    <x v="125"/>
    <x v="1"/>
    <x v="9"/>
    <x v="0"/>
    <n v="73480"/>
  </r>
  <r>
    <s v="CSKU08727_2ES"/>
    <x v="2"/>
    <x v="1"/>
    <x v="1"/>
    <x v="7"/>
    <x v="4"/>
    <x v="7"/>
    <x v="125"/>
    <x v="1"/>
    <x v="9"/>
    <x v="0"/>
    <n v="67760"/>
  </r>
  <r>
    <s v="CSKU08728_2ES"/>
    <x v="2"/>
    <x v="1"/>
    <x v="1"/>
    <x v="7"/>
    <x v="1"/>
    <x v="7"/>
    <x v="125"/>
    <x v="1"/>
    <x v="9"/>
    <x v="0"/>
    <n v="77460"/>
  </r>
  <r>
    <s v="CSKU08902_2ES"/>
    <x v="2"/>
    <x v="1"/>
    <x v="0"/>
    <x v="7"/>
    <x v="1"/>
    <x v="7"/>
    <x v="126"/>
    <x v="0"/>
    <x v="9"/>
    <x v="0"/>
    <n v="94100"/>
  </r>
  <r>
    <s v="CSKU08903_2ES"/>
    <x v="2"/>
    <x v="1"/>
    <x v="1"/>
    <x v="4"/>
    <x v="4"/>
    <x v="7"/>
    <x v="126"/>
    <x v="1"/>
    <x v="9"/>
    <x v="0"/>
    <n v="77020"/>
  </r>
  <r>
    <s v="CSKU08904_2ES"/>
    <x v="2"/>
    <x v="1"/>
    <x v="1"/>
    <x v="4"/>
    <x v="1"/>
    <x v="7"/>
    <x v="126"/>
    <x v="1"/>
    <x v="9"/>
    <x v="0"/>
    <n v="91480"/>
  </r>
  <r>
    <s v="CSKU08905_2ES"/>
    <x v="2"/>
    <x v="1"/>
    <x v="1"/>
    <x v="0"/>
    <x v="4"/>
    <x v="7"/>
    <x v="126"/>
    <x v="1"/>
    <x v="9"/>
    <x v="0"/>
    <n v="80980"/>
  </r>
  <r>
    <s v="CSKU08906_2ES"/>
    <x v="2"/>
    <x v="1"/>
    <x v="1"/>
    <x v="0"/>
    <x v="1"/>
    <x v="7"/>
    <x v="126"/>
    <x v="1"/>
    <x v="9"/>
    <x v="0"/>
    <n v="95440"/>
  </r>
  <r>
    <s v="CSKU08907_2ES"/>
    <x v="2"/>
    <x v="1"/>
    <x v="1"/>
    <x v="7"/>
    <x v="4"/>
    <x v="7"/>
    <x v="126"/>
    <x v="1"/>
    <x v="9"/>
    <x v="0"/>
    <n v="84960"/>
  </r>
  <r>
    <s v="CSKU08908_2ES"/>
    <x v="2"/>
    <x v="1"/>
    <x v="1"/>
    <x v="7"/>
    <x v="1"/>
    <x v="7"/>
    <x v="126"/>
    <x v="1"/>
    <x v="9"/>
    <x v="0"/>
    <n v="99420"/>
  </r>
  <r>
    <s v="CSKU09005_2ES"/>
    <x v="2"/>
    <x v="1"/>
    <x v="0"/>
    <x v="4"/>
    <x v="4"/>
    <x v="7"/>
    <x v="415"/>
    <x v="0"/>
    <x v="9"/>
    <x v="0"/>
    <n v="56990"/>
  </r>
  <r>
    <s v="CSKU09006_2ES"/>
    <x v="2"/>
    <x v="1"/>
    <x v="0"/>
    <x v="0"/>
    <x v="4"/>
    <x v="7"/>
    <x v="415"/>
    <x v="0"/>
    <x v="9"/>
    <x v="0"/>
    <n v="60520"/>
  </r>
  <r>
    <s v="CSKU09007_2ES"/>
    <x v="2"/>
    <x v="1"/>
    <x v="0"/>
    <x v="7"/>
    <x v="4"/>
    <x v="7"/>
    <x v="415"/>
    <x v="0"/>
    <x v="9"/>
    <x v="0"/>
    <n v="64090"/>
  </r>
  <r>
    <s v="CSKU09008_2ES"/>
    <x v="2"/>
    <x v="1"/>
    <x v="0"/>
    <x v="4"/>
    <x v="1"/>
    <x v="7"/>
    <x v="415"/>
    <x v="0"/>
    <x v="9"/>
    <x v="0"/>
    <n v="66620"/>
  </r>
  <r>
    <s v="CSKU09977_2ES"/>
    <x v="2"/>
    <x v="1"/>
    <x v="0"/>
    <x v="4"/>
    <x v="4"/>
    <x v="7"/>
    <x v="416"/>
    <x v="0"/>
    <x v="9"/>
    <x v="0"/>
    <n v="69100"/>
  </r>
  <r>
    <s v="CSKU10013_2ES"/>
    <x v="2"/>
    <x v="1"/>
    <x v="0"/>
    <x v="4"/>
    <x v="4"/>
    <x v="7"/>
    <x v="417"/>
    <x v="0"/>
    <x v="9"/>
    <x v="0"/>
    <n v="65270"/>
  </r>
  <r>
    <s v="CSKU10014_2ES"/>
    <x v="2"/>
    <x v="1"/>
    <x v="0"/>
    <x v="0"/>
    <x v="4"/>
    <x v="7"/>
    <x v="417"/>
    <x v="0"/>
    <x v="9"/>
    <x v="0"/>
    <n v="68800"/>
  </r>
  <r>
    <s v="CSKU10015_2ES"/>
    <x v="2"/>
    <x v="1"/>
    <x v="0"/>
    <x v="7"/>
    <x v="4"/>
    <x v="7"/>
    <x v="417"/>
    <x v="0"/>
    <x v="9"/>
    <x v="0"/>
    <n v="72370"/>
  </r>
  <r>
    <s v="CSKU10016_2ES"/>
    <x v="2"/>
    <x v="1"/>
    <x v="0"/>
    <x v="4"/>
    <x v="1"/>
    <x v="7"/>
    <x v="417"/>
    <x v="0"/>
    <x v="9"/>
    <x v="0"/>
    <n v="77260"/>
  </r>
  <r>
    <s v="CSKU10017_2ES"/>
    <x v="2"/>
    <x v="1"/>
    <x v="0"/>
    <x v="0"/>
    <x v="1"/>
    <x v="7"/>
    <x v="417"/>
    <x v="0"/>
    <x v="9"/>
    <x v="0"/>
    <n v="80790"/>
  </r>
  <r>
    <s v="CSKU10018_2ES"/>
    <x v="2"/>
    <x v="1"/>
    <x v="0"/>
    <x v="7"/>
    <x v="1"/>
    <x v="7"/>
    <x v="417"/>
    <x v="0"/>
    <x v="9"/>
    <x v="0"/>
    <n v="84340"/>
  </r>
  <r>
    <s v="CSKU09113_2ES"/>
    <x v="2"/>
    <x v="1"/>
    <x v="0"/>
    <x v="4"/>
    <x v="4"/>
    <x v="7"/>
    <x v="418"/>
    <x v="0"/>
    <x v="9"/>
    <x v="0"/>
    <n v="56990"/>
  </r>
  <r>
    <s v="CSKU09114_2ES"/>
    <x v="2"/>
    <x v="1"/>
    <x v="0"/>
    <x v="0"/>
    <x v="4"/>
    <x v="7"/>
    <x v="418"/>
    <x v="0"/>
    <x v="9"/>
    <x v="0"/>
    <n v="60520"/>
  </r>
  <r>
    <s v="CSKU09115_2ES"/>
    <x v="2"/>
    <x v="1"/>
    <x v="0"/>
    <x v="7"/>
    <x v="4"/>
    <x v="7"/>
    <x v="418"/>
    <x v="0"/>
    <x v="9"/>
    <x v="0"/>
    <n v="64090"/>
  </r>
  <r>
    <s v="CSKU09116_2ES"/>
    <x v="2"/>
    <x v="1"/>
    <x v="0"/>
    <x v="4"/>
    <x v="1"/>
    <x v="7"/>
    <x v="418"/>
    <x v="0"/>
    <x v="9"/>
    <x v="0"/>
    <n v="66620"/>
  </r>
  <r>
    <s v="CSKU09117_2ES"/>
    <x v="2"/>
    <x v="1"/>
    <x v="0"/>
    <x v="0"/>
    <x v="1"/>
    <x v="7"/>
    <x v="418"/>
    <x v="0"/>
    <x v="9"/>
    <x v="0"/>
    <n v="70150"/>
  </r>
  <r>
    <s v="CSKU09118_2ES"/>
    <x v="2"/>
    <x v="1"/>
    <x v="0"/>
    <x v="7"/>
    <x v="1"/>
    <x v="7"/>
    <x v="418"/>
    <x v="0"/>
    <x v="9"/>
    <x v="0"/>
    <n v="73700"/>
  </r>
  <r>
    <s v="CSKU09119_2ES"/>
    <x v="2"/>
    <x v="1"/>
    <x v="1"/>
    <x v="4"/>
    <x v="4"/>
    <x v="7"/>
    <x v="418"/>
    <x v="1"/>
    <x v="9"/>
    <x v="0"/>
    <n v="60610"/>
  </r>
  <r>
    <s v="CSKU09296_2ES"/>
    <x v="2"/>
    <x v="1"/>
    <x v="0"/>
    <x v="4"/>
    <x v="1"/>
    <x v="7"/>
    <x v="128"/>
    <x v="0"/>
    <x v="9"/>
    <x v="0"/>
    <n v="50940"/>
  </r>
  <r>
    <s v="CSKU09297_2ES"/>
    <x v="2"/>
    <x v="1"/>
    <x v="0"/>
    <x v="0"/>
    <x v="1"/>
    <x v="7"/>
    <x v="128"/>
    <x v="0"/>
    <x v="9"/>
    <x v="0"/>
    <n v="54470"/>
  </r>
  <r>
    <s v="CSKU09298_2ES"/>
    <x v="2"/>
    <x v="1"/>
    <x v="0"/>
    <x v="7"/>
    <x v="1"/>
    <x v="7"/>
    <x v="128"/>
    <x v="0"/>
    <x v="9"/>
    <x v="0"/>
    <n v="58020"/>
  </r>
  <r>
    <s v="CSKU09299_2ES"/>
    <x v="2"/>
    <x v="1"/>
    <x v="1"/>
    <x v="4"/>
    <x v="4"/>
    <x v="7"/>
    <x v="128"/>
    <x v="1"/>
    <x v="9"/>
    <x v="0"/>
    <n v="48120"/>
  </r>
  <r>
    <s v="CSKU09300_2ES"/>
    <x v="2"/>
    <x v="1"/>
    <x v="1"/>
    <x v="0"/>
    <x v="4"/>
    <x v="7"/>
    <x v="128"/>
    <x v="1"/>
    <x v="9"/>
    <x v="0"/>
    <n v="52080"/>
  </r>
  <r>
    <s v="CSKU09301_2ES"/>
    <x v="2"/>
    <x v="1"/>
    <x v="1"/>
    <x v="7"/>
    <x v="4"/>
    <x v="7"/>
    <x v="128"/>
    <x v="1"/>
    <x v="9"/>
    <x v="0"/>
    <n v="56060"/>
  </r>
  <r>
    <s v="CSKU09302_2ES"/>
    <x v="2"/>
    <x v="1"/>
    <x v="1"/>
    <x v="4"/>
    <x v="1"/>
    <x v="7"/>
    <x v="128"/>
    <x v="1"/>
    <x v="9"/>
    <x v="0"/>
    <n v="56360"/>
  </r>
  <r>
    <s v="CSKU09303_2ES"/>
    <x v="2"/>
    <x v="1"/>
    <x v="1"/>
    <x v="0"/>
    <x v="1"/>
    <x v="7"/>
    <x v="128"/>
    <x v="1"/>
    <x v="9"/>
    <x v="0"/>
    <n v="60320"/>
  </r>
  <r>
    <s v="CSKU09304_2ES"/>
    <x v="2"/>
    <x v="1"/>
    <x v="1"/>
    <x v="7"/>
    <x v="1"/>
    <x v="7"/>
    <x v="128"/>
    <x v="1"/>
    <x v="9"/>
    <x v="0"/>
    <n v="64300"/>
  </r>
  <r>
    <s v="CSKU07569_2ES"/>
    <x v="2"/>
    <x v="1"/>
    <x v="0"/>
    <x v="0"/>
    <x v="1"/>
    <x v="7"/>
    <x v="120"/>
    <x v="0"/>
    <x v="9"/>
    <x v="0"/>
    <n v="76950"/>
  </r>
  <r>
    <s v="CSKU07570_2ES"/>
    <x v="2"/>
    <x v="1"/>
    <x v="0"/>
    <x v="7"/>
    <x v="1"/>
    <x v="7"/>
    <x v="120"/>
    <x v="0"/>
    <x v="9"/>
    <x v="0"/>
    <n v="80500"/>
  </r>
  <r>
    <s v="CSKU07571_2ES"/>
    <x v="2"/>
    <x v="1"/>
    <x v="1"/>
    <x v="4"/>
    <x v="4"/>
    <x v="7"/>
    <x v="120"/>
    <x v="1"/>
    <x v="9"/>
    <x v="0"/>
    <n v="66080"/>
  </r>
  <r>
    <s v="CSKU07572_2ES"/>
    <x v="2"/>
    <x v="1"/>
    <x v="1"/>
    <x v="4"/>
    <x v="1"/>
    <x v="7"/>
    <x v="120"/>
    <x v="1"/>
    <x v="9"/>
    <x v="0"/>
    <n v="77880"/>
  </r>
  <r>
    <s v="CSKU07573_2ES"/>
    <x v="2"/>
    <x v="1"/>
    <x v="1"/>
    <x v="0"/>
    <x v="4"/>
    <x v="7"/>
    <x v="120"/>
    <x v="1"/>
    <x v="9"/>
    <x v="0"/>
    <n v="70040"/>
  </r>
  <r>
    <s v="CSKU07574_2ES"/>
    <x v="2"/>
    <x v="1"/>
    <x v="1"/>
    <x v="0"/>
    <x v="1"/>
    <x v="7"/>
    <x v="120"/>
    <x v="1"/>
    <x v="9"/>
    <x v="0"/>
    <n v="81840"/>
  </r>
  <r>
    <s v="CSKU07575_2ES"/>
    <x v="2"/>
    <x v="1"/>
    <x v="1"/>
    <x v="7"/>
    <x v="4"/>
    <x v="7"/>
    <x v="120"/>
    <x v="1"/>
    <x v="9"/>
    <x v="0"/>
    <n v="74020"/>
  </r>
  <r>
    <s v="CSKU07576_2ES"/>
    <x v="2"/>
    <x v="1"/>
    <x v="1"/>
    <x v="7"/>
    <x v="1"/>
    <x v="7"/>
    <x v="120"/>
    <x v="1"/>
    <x v="9"/>
    <x v="0"/>
    <n v="85820"/>
  </r>
  <r>
    <s v="CSKU09370_2ES"/>
    <x v="2"/>
    <x v="1"/>
    <x v="0"/>
    <x v="7"/>
    <x v="1"/>
    <x v="7"/>
    <x v="129"/>
    <x v="0"/>
    <x v="9"/>
    <x v="0"/>
    <n v="59330"/>
  </r>
  <r>
    <s v="CSKU09371_2ES"/>
    <x v="2"/>
    <x v="1"/>
    <x v="1"/>
    <x v="4"/>
    <x v="4"/>
    <x v="7"/>
    <x v="129"/>
    <x v="1"/>
    <x v="9"/>
    <x v="0"/>
    <n v="49290"/>
  </r>
  <r>
    <s v="CSKU09372_2ES"/>
    <x v="2"/>
    <x v="1"/>
    <x v="1"/>
    <x v="0"/>
    <x v="4"/>
    <x v="7"/>
    <x v="129"/>
    <x v="1"/>
    <x v="9"/>
    <x v="0"/>
    <n v="53250"/>
  </r>
  <r>
    <s v="CSKU09373_2ES"/>
    <x v="2"/>
    <x v="1"/>
    <x v="1"/>
    <x v="7"/>
    <x v="4"/>
    <x v="7"/>
    <x v="129"/>
    <x v="1"/>
    <x v="9"/>
    <x v="0"/>
    <n v="57230"/>
  </r>
  <r>
    <s v="CSKU09374_2ES"/>
    <x v="2"/>
    <x v="1"/>
    <x v="1"/>
    <x v="4"/>
    <x v="1"/>
    <x v="7"/>
    <x v="129"/>
    <x v="1"/>
    <x v="9"/>
    <x v="0"/>
    <n v="57670"/>
  </r>
  <r>
    <s v="CSKU09375_2ES"/>
    <x v="2"/>
    <x v="1"/>
    <x v="1"/>
    <x v="0"/>
    <x v="1"/>
    <x v="7"/>
    <x v="129"/>
    <x v="1"/>
    <x v="9"/>
    <x v="0"/>
    <n v="61630"/>
  </r>
  <r>
    <s v="CSKU09376_2ES"/>
    <x v="2"/>
    <x v="1"/>
    <x v="1"/>
    <x v="7"/>
    <x v="1"/>
    <x v="7"/>
    <x v="129"/>
    <x v="1"/>
    <x v="9"/>
    <x v="0"/>
    <n v="65610"/>
  </r>
  <r>
    <s v="CSKU07675_2ES"/>
    <x v="2"/>
    <x v="1"/>
    <x v="0"/>
    <x v="7"/>
    <x v="4"/>
    <x v="7"/>
    <x v="121"/>
    <x v="0"/>
    <x v="9"/>
    <x v="0"/>
    <n v="69560"/>
  </r>
  <r>
    <s v="CSKU07676_2ES"/>
    <x v="2"/>
    <x v="1"/>
    <x v="0"/>
    <x v="4"/>
    <x v="1"/>
    <x v="7"/>
    <x v="121"/>
    <x v="0"/>
    <x v="9"/>
    <x v="0"/>
    <n v="73420"/>
  </r>
  <r>
    <s v="CSKU07677_2ES"/>
    <x v="2"/>
    <x v="1"/>
    <x v="0"/>
    <x v="0"/>
    <x v="1"/>
    <x v="7"/>
    <x v="121"/>
    <x v="0"/>
    <x v="9"/>
    <x v="0"/>
    <n v="76950"/>
  </r>
  <r>
    <s v="CSKU07678_2ES"/>
    <x v="2"/>
    <x v="1"/>
    <x v="0"/>
    <x v="7"/>
    <x v="1"/>
    <x v="7"/>
    <x v="121"/>
    <x v="0"/>
    <x v="9"/>
    <x v="0"/>
    <n v="80500"/>
  </r>
  <r>
    <s v="CSKU07679_2ES"/>
    <x v="2"/>
    <x v="1"/>
    <x v="1"/>
    <x v="4"/>
    <x v="4"/>
    <x v="7"/>
    <x v="121"/>
    <x v="1"/>
    <x v="9"/>
    <x v="0"/>
    <n v="66080"/>
  </r>
  <r>
    <s v="CSKU07680_2ES"/>
    <x v="2"/>
    <x v="1"/>
    <x v="1"/>
    <x v="4"/>
    <x v="1"/>
    <x v="7"/>
    <x v="121"/>
    <x v="1"/>
    <x v="9"/>
    <x v="0"/>
    <n v="77880"/>
  </r>
  <r>
    <s v="CSKU07681_2ES"/>
    <x v="2"/>
    <x v="1"/>
    <x v="1"/>
    <x v="0"/>
    <x v="4"/>
    <x v="7"/>
    <x v="121"/>
    <x v="1"/>
    <x v="9"/>
    <x v="0"/>
    <n v="70040"/>
  </r>
  <r>
    <s v="CSKU07682_2ES"/>
    <x v="2"/>
    <x v="1"/>
    <x v="1"/>
    <x v="0"/>
    <x v="1"/>
    <x v="7"/>
    <x v="121"/>
    <x v="1"/>
    <x v="9"/>
    <x v="0"/>
    <n v="81840"/>
  </r>
  <r>
    <s v="CSKU07683_2ES"/>
    <x v="2"/>
    <x v="1"/>
    <x v="1"/>
    <x v="7"/>
    <x v="4"/>
    <x v="7"/>
    <x v="121"/>
    <x v="1"/>
    <x v="9"/>
    <x v="0"/>
    <n v="74020"/>
  </r>
  <r>
    <s v="CSKU07684_2ES"/>
    <x v="2"/>
    <x v="1"/>
    <x v="1"/>
    <x v="7"/>
    <x v="1"/>
    <x v="7"/>
    <x v="121"/>
    <x v="1"/>
    <x v="9"/>
    <x v="0"/>
    <n v="85820"/>
  </r>
  <r>
    <s v="CSKU07854_2ES"/>
    <x v="2"/>
    <x v="1"/>
    <x v="0"/>
    <x v="0"/>
    <x v="4"/>
    <x v="7"/>
    <x v="122"/>
    <x v="0"/>
    <x v="9"/>
    <x v="0"/>
    <n v="49730"/>
  </r>
  <r>
    <s v="CSKU07855_2ES"/>
    <x v="2"/>
    <x v="1"/>
    <x v="0"/>
    <x v="7"/>
    <x v="4"/>
    <x v="7"/>
    <x v="122"/>
    <x v="0"/>
    <x v="9"/>
    <x v="0"/>
    <n v="53300"/>
  </r>
  <r>
    <s v="CSKU07856_2ES"/>
    <x v="2"/>
    <x v="1"/>
    <x v="0"/>
    <x v="4"/>
    <x v="1"/>
    <x v="7"/>
    <x v="122"/>
    <x v="0"/>
    <x v="9"/>
    <x v="0"/>
    <n v="53900"/>
  </r>
  <r>
    <s v="CSKU07857_2ES"/>
    <x v="2"/>
    <x v="1"/>
    <x v="0"/>
    <x v="0"/>
    <x v="1"/>
    <x v="7"/>
    <x v="122"/>
    <x v="0"/>
    <x v="9"/>
    <x v="0"/>
    <n v="57430"/>
  </r>
  <r>
    <s v="CSKU07858_2ES"/>
    <x v="2"/>
    <x v="1"/>
    <x v="0"/>
    <x v="7"/>
    <x v="1"/>
    <x v="7"/>
    <x v="122"/>
    <x v="0"/>
    <x v="9"/>
    <x v="0"/>
    <n v="60980"/>
  </r>
  <r>
    <s v="CSKU07859_2ES"/>
    <x v="2"/>
    <x v="1"/>
    <x v="1"/>
    <x v="4"/>
    <x v="4"/>
    <x v="7"/>
    <x v="122"/>
    <x v="1"/>
    <x v="9"/>
    <x v="0"/>
    <n v="50460"/>
  </r>
  <r>
    <s v="CSKU07860_2ES"/>
    <x v="2"/>
    <x v="1"/>
    <x v="1"/>
    <x v="0"/>
    <x v="4"/>
    <x v="7"/>
    <x v="122"/>
    <x v="1"/>
    <x v="9"/>
    <x v="0"/>
    <n v="54420"/>
  </r>
  <r>
    <s v="CSKU07861_2ES"/>
    <x v="2"/>
    <x v="1"/>
    <x v="1"/>
    <x v="7"/>
    <x v="4"/>
    <x v="7"/>
    <x v="122"/>
    <x v="1"/>
    <x v="9"/>
    <x v="0"/>
    <n v="58400"/>
  </r>
  <r>
    <s v="CSKU07862_2ES"/>
    <x v="2"/>
    <x v="1"/>
    <x v="1"/>
    <x v="4"/>
    <x v="1"/>
    <x v="7"/>
    <x v="122"/>
    <x v="1"/>
    <x v="9"/>
    <x v="0"/>
    <n v="59000"/>
  </r>
  <r>
    <s v="CSKU07863_2ES"/>
    <x v="2"/>
    <x v="1"/>
    <x v="1"/>
    <x v="0"/>
    <x v="1"/>
    <x v="7"/>
    <x v="122"/>
    <x v="1"/>
    <x v="9"/>
    <x v="0"/>
    <n v="62960"/>
  </r>
  <r>
    <s v="CSKU07864_2ES"/>
    <x v="2"/>
    <x v="1"/>
    <x v="1"/>
    <x v="7"/>
    <x v="1"/>
    <x v="7"/>
    <x v="122"/>
    <x v="1"/>
    <x v="9"/>
    <x v="0"/>
    <n v="66940"/>
  </r>
  <r>
    <s v="CSKU07961_2ES"/>
    <x v="2"/>
    <x v="1"/>
    <x v="0"/>
    <x v="4"/>
    <x v="4"/>
    <x v="7"/>
    <x v="419"/>
    <x v="0"/>
    <x v="9"/>
    <x v="0"/>
    <n v="57140"/>
  </r>
  <r>
    <s v="CSKU07962_2ES"/>
    <x v="2"/>
    <x v="1"/>
    <x v="0"/>
    <x v="0"/>
    <x v="4"/>
    <x v="7"/>
    <x v="419"/>
    <x v="0"/>
    <x v="9"/>
    <x v="0"/>
    <n v="60670"/>
  </r>
  <r>
    <s v="CSKU07963_2ES"/>
    <x v="2"/>
    <x v="1"/>
    <x v="0"/>
    <x v="7"/>
    <x v="4"/>
    <x v="7"/>
    <x v="419"/>
    <x v="0"/>
    <x v="9"/>
    <x v="0"/>
    <n v="64240"/>
  </r>
  <r>
    <s v="CSKU07964_2ES"/>
    <x v="2"/>
    <x v="1"/>
    <x v="0"/>
    <x v="4"/>
    <x v="1"/>
    <x v="7"/>
    <x v="419"/>
    <x v="0"/>
    <x v="9"/>
    <x v="0"/>
    <n v="67500"/>
  </r>
  <r>
    <s v="CSKU07965_2ES"/>
    <x v="2"/>
    <x v="1"/>
    <x v="0"/>
    <x v="0"/>
    <x v="1"/>
    <x v="7"/>
    <x v="419"/>
    <x v="0"/>
    <x v="9"/>
    <x v="0"/>
    <n v="71030"/>
  </r>
  <r>
    <s v="CSKU08069_2ES"/>
    <x v="2"/>
    <x v="1"/>
    <x v="0"/>
    <x v="4"/>
    <x v="4"/>
    <x v="7"/>
    <x v="420"/>
    <x v="0"/>
    <x v="9"/>
    <x v="0"/>
    <n v="57140"/>
  </r>
  <r>
    <s v="CSKU08365_2ES"/>
    <x v="2"/>
    <x v="1"/>
    <x v="1"/>
    <x v="0"/>
    <x v="4"/>
    <x v="7"/>
    <x v="123"/>
    <x v="1"/>
    <x v="9"/>
    <x v="0"/>
    <n v="72380"/>
  </r>
  <r>
    <s v="CSKU08366_2ES"/>
    <x v="2"/>
    <x v="1"/>
    <x v="1"/>
    <x v="0"/>
    <x v="1"/>
    <x v="7"/>
    <x v="123"/>
    <x v="1"/>
    <x v="9"/>
    <x v="0"/>
    <n v="84460"/>
  </r>
  <r>
    <s v="CSKU08367_2ES"/>
    <x v="2"/>
    <x v="1"/>
    <x v="1"/>
    <x v="7"/>
    <x v="4"/>
    <x v="7"/>
    <x v="123"/>
    <x v="1"/>
    <x v="9"/>
    <x v="0"/>
    <n v="76360"/>
  </r>
  <r>
    <s v="CSKU08368_2ES"/>
    <x v="2"/>
    <x v="1"/>
    <x v="1"/>
    <x v="7"/>
    <x v="1"/>
    <x v="7"/>
    <x v="123"/>
    <x v="1"/>
    <x v="9"/>
    <x v="0"/>
    <n v="88440"/>
  </r>
  <r>
    <s v="CSKU08465_2ES"/>
    <x v="2"/>
    <x v="1"/>
    <x v="0"/>
    <x v="4"/>
    <x v="4"/>
    <x v="7"/>
    <x v="421"/>
    <x v="0"/>
    <x v="9"/>
    <x v="0"/>
    <n v="73400"/>
  </r>
  <r>
    <s v="CSKU08466_2ES"/>
    <x v="2"/>
    <x v="1"/>
    <x v="0"/>
    <x v="0"/>
    <x v="4"/>
    <x v="7"/>
    <x v="421"/>
    <x v="0"/>
    <x v="9"/>
    <x v="0"/>
    <n v="76930"/>
  </r>
  <r>
    <s v="CSKU08467_2ES"/>
    <x v="2"/>
    <x v="1"/>
    <x v="0"/>
    <x v="7"/>
    <x v="4"/>
    <x v="7"/>
    <x v="421"/>
    <x v="0"/>
    <x v="9"/>
    <x v="0"/>
    <n v="80500"/>
  </r>
  <r>
    <s v="CSKU06701_2ES"/>
    <x v="2"/>
    <x v="1"/>
    <x v="0"/>
    <x v="4"/>
    <x v="4"/>
    <x v="7"/>
    <x v="422"/>
    <x v="0"/>
    <x v="9"/>
    <x v="0"/>
    <n v="57140"/>
  </r>
  <r>
    <s v="CSKU06702_2ES"/>
    <x v="2"/>
    <x v="1"/>
    <x v="0"/>
    <x v="0"/>
    <x v="4"/>
    <x v="7"/>
    <x v="422"/>
    <x v="0"/>
    <x v="9"/>
    <x v="0"/>
    <n v="60670"/>
  </r>
  <r>
    <s v="CSKU06703_2ES"/>
    <x v="2"/>
    <x v="1"/>
    <x v="0"/>
    <x v="7"/>
    <x v="4"/>
    <x v="7"/>
    <x v="422"/>
    <x v="0"/>
    <x v="9"/>
    <x v="0"/>
    <n v="64240"/>
  </r>
  <r>
    <s v="CSKU06704_2ES"/>
    <x v="2"/>
    <x v="1"/>
    <x v="0"/>
    <x v="4"/>
    <x v="1"/>
    <x v="7"/>
    <x v="422"/>
    <x v="0"/>
    <x v="9"/>
    <x v="0"/>
    <n v="67500"/>
  </r>
  <r>
    <s v="CSKU06705_2ES"/>
    <x v="2"/>
    <x v="1"/>
    <x v="0"/>
    <x v="0"/>
    <x v="1"/>
    <x v="7"/>
    <x v="422"/>
    <x v="0"/>
    <x v="9"/>
    <x v="0"/>
    <n v="71030"/>
  </r>
  <r>
    <s v="CSKU06706_2ES"/>
    <x v="2"/>
    <x v="1"/>
    <x v="0"/>
    <x v="7"/>
    <x v="1"/>
    <x v="7"/>
    <x v="422"/>
    <x v="0"/>
    <x v="9"/>
    <x v="0"/>
    <n v="74580"/>
  </r>
  <r>
    <s v="CSKU06707_2ES"/>
    <x v="2"/>
    <x v="1"/>
    <x v="1"/>
    <x v="4"/>
    <x v="4"/>
    <x v="7"/>
    <x v="422"/>
    <x v="1"/>
    <x v="9"/>
    <x v="0"/>
    <n v="61400"/>
  </r>
  <r>
    <s v="CSKU06566_2ES"/>
    <x v="2"/>
    <x v="1"/>
    <x v="1"/>
    <x v="4"/>
    <x v="1"/>
    <x v="7"/>
    <x v="117"/>
    <x v="1"/>
    <x v="9"/>
    <x v="0"/>
    <n v="72600"/>
  </r>
  <r>
    <s v="CSKU06567_2ES"/>
    <x v="2"/>
    <x v="1"/>
    <x v="1"/>
    <x v="0"/>
    <x v="1"/>
    <x v="7"/>
    <x v="117"/>
    <x v="1"/>
    <x v="9"/>
    <x v="0"/>
    <n v="76560"/>
  </r>
  <r>
    <s v="CSKU06568_2ES"/>
    <x v="2"/>
    <x v="1"/>
    <x v="1"/>
    <x v="7"/>
    <x v="1"/>
    <x v="7"/>
    <x v="117"/>
    <x v="1"/>
    <x v="9"/>
    <x v="0"/>
    <n v="80540"/>
  </r>
  <r>
    <s v="CSKU06629_2ES"/>
    <x v="2"/>
    <x v="1"/>
    <x v="0"/>
    <x v="4"/>
    <x v="4"/>
    <x v="7"/>
    <x v="423"/>
    <x v="0"/>
    <x v="9"/>
    <x v="0"/>
    <n v="57140"/>
  </r>
  <r>
    <s v="CSKU06630_2ES"/>
    <x v="2"/>
    <x v="1"/>
    <x v="0"/>
    <x v="0"/>
    <x v="4"/>
    <x v="7"/>
    <x v="423"/>
    <x v="0"/>
    <x v="9"/>
    <x v="0"/>
    <n v="60670"/>
  </r>
  <r>
    <s v="CSKU06631_2ES"/>
    <x v="2"/>
    <x v="1"/>
    <x v="0"/>
    <x v="7"/>
    <x v="4"/>
    <x v="7"/>
    <x v="423"/>
    <x v="0"/>
    <x v="9"/>
    <x v="0"/>
    <n v="64240"/>
  </r>
  <r>
    <s v="CSKU06632_2ES"/>
    <x v="2"/>
    <x v="1"/>
    <x v="0"/>
    <x v="4"/>
    <x v="1"/>
    <x v="7"/>
    <x v="423"/>
    <x v="0"/>
    <x v="9"/>
    <x v="0"/>
    <n v="67500"/>
  </r>
  <r>
    <s v="CSKU06633_2ES"/>
    <x v="2"/>
    <x v="1"/>
    <x v="0"/>
    <x v="0"/>
    <x v="1"/>
    <x v="7"/>
    <x v="423"/>
    <x v="0"/>
    <x v="9"/>
    <x v="0"/>
    <n v="71030"/>
  </r>
  <r>
    <s v="CSKU06634_2ES"/>
    <x v="2"/>
    <x v="1"/>
    <x v="0"/>
    <x v="7"/>
    <x v="1"/>
    <x v="7"/>
    <x v="423"/>
    <x v="0"/>
    <x v="9"/>
    <x v="0"/>
    <n v="74580"/>
  </r>
  <r>
    <s v="CSKU06635_2ES"/>
    <x v="2"/>
    <x v="1"/>
    <x v="1"/>
    <x v="4"/>
    <x v="4"/>
    <x v="7"/>
    <x v="423"/>
    <x v="1"/>
    <x v="9"/>
    <x v="0"/>
    <n v="61400"/>
  </r>
  <r>
    <s v="CSKU06636_2ES"/>
    <x v="2"/>
    <x v="1"/>
    <x v="1"/>
    <x v="0"/>
    <x v="4"/>
    <x v="7"/>
    <x v="423"/>
    <x v="1"/>
    <x v="9"/>
    <x v="0"/>
    <n v="65360"/>
  </r>
  <r>
    <s v="CSKU07029_2ES"/>
    <x v="2"/>
    <x v="1"/>
    <x v="0"/>
    <x v="0"/>
    <x v="1"/>
    <x v="7"/>
    <x v="118"/>
    <x v="0"/>
    <x v="9"/>
    <x v="0"/>
    <n v="76950"/>
  </r>
  <r>
    <s v="CSKU07030_2ES"/>
    <x v="2"/>
    <x v="1"/>
    <x v="0"/>
    <x v="7"/>
    <x v="1"/>
    <x v="7"/>
    <x v="118"/>
    <x v="0"/>
    <x v="9"/>
    <x v="0"/>
    <n v="80500"/>
  </r>
  <r>
    <s v="CSKU07031_2ES"/>
    <x v="2"/>
    <x v="1"/>
    <x v="1"/>
    <x v="4"/>
    <x v="4"/>
    <x v="7"/>
    <x v="118"/>
    <x v="1"/>
    <x v="9"/>
    <x v="0"/>
    <n v="66080"/>
  </r>
  <r>
    <s v="CSKU07032_2ES"/>
    <x v="2"/>
    <x v="1"/>
    <x v="1"/>
    <x v="4"/>
    <x v="1"/>
    <x v="7"/>
    <x v="118"/>
    <x v="1"/>
    <x v="9"/>
    <x v="0"/>
    <n v="77880"/>
  </r>
  <r>
    <s v="CSKU07033_2ES"/>
    <x v="2"/>
    <x v="1"/>
    <x v="1"/>
    <x v="0"/>
    <x v="4"/>
    <x v="7"/>
    <x v="118"/>
    <x v="1"/>
    <x v="9"/>
    <x v="0"/>
    <n v="70040"/>
  </r>
  <r>
    <s v="CSKU07034_2ES"/>
    <x v="2"/>
    <x v="1"/>
    <x v="1"/>
    <x v="0"/>
    <x v="1"/>
    <x v="7"/>
    <x v="118"/>
    <x v="1"/>
    <x v="9"/>
    <x v="0"/>
    <n v="81840"/>
  </r>
  <r>
    <s v="CSKU07035_2ES"/>
    <x v="2"/>
    <x v="1"/>
    <x v="1"/>
    <x v="7"/>
    <x v="4"/>
    <x v="7"/>
    <x v="118"/>
    <x v="1"/>
    <x v="9"/>
    <x v="0"/>
    <n v="74020"/>
  </r>
  <r>
    <s v="CSKU07036_2ES"/>
    <x v="2"/>
    <x v="1"/>
    <x v="1"/>
    <x v="7"/>
    <x v="1"/>
    <x v="7"/>
    <x v="118"/>
    <x v="1"/>
    <x v="9"/>
    <x v="0"/>
    <n v="85820"/>
  </r>
  <r>
    <s v="CSKU07098_2ES"/>
    <x v="2"/>
    <x v="1"/>
    <x v="0"/>
    <x v="0"/>
    <x v="4"/>
    <x v="7"/>
    <x v="119"/>
    <x v="0"/>
    <x v="9"/>
    <x v="0"/>
    <n v="76930"/>
  </r>
  <r>
    <s v="CSKU07099_2ES"/>
    <x v="2"/>
    <x v="1"/>
    <x v="0"/>
    <x v="7"/>
    <x v="4"/>
    <x v="7"/>
    <x v="119"/>
    <x v="0"/>
    <x v="9"/>
    <x v="0"/>
    <n v="80500"/>
  </r>
  <r>
    <s v="CSKU07100_2ES"/>
    <x v="2"/>
    <x v="1"/>
    <x v="0"/>
    <x v="4"/>
    <x v="1"/>
    <x v="7"/>
    <x v="119"/>
    <x v="0"/>
    <x v="9"/>
    <x v="0"/>
    <n v="87020"/>
  </r>
  <r>
    <s v="CSKU07101_2ES"/>
    <x v="2"/>
    <x v="1"/>
    <x v="0"/>
    <x v="0"/>
    <x v="1"/>
    <x v="7"/>
    <x v="119"/>
    <x v="0"/>
    <x v="9"/>
    <x v="0"/>
    <n v="90550"/>
  </r>
  <r>
    <s v="CSKU07102_2ES"/>
    <x v="2"/>
    <x v="1"/>
    <x v="0"/>
    <x v="7"/>
    <x v="1"/>
    <x v="7"/>
    <x v="119"/>
    <x v="0"/>
    <x v="9"/>
    <x v="0"/>
    <n v="94100"/>
  </r>
  <r>
    <s v="CSKU07103_2ES"/>
    <x v="2"/>
    <x v="1"/>
    <x v="1"/>
    <x v="4"/>
    <x v="4"/>
    <x v="7"/>
    <x v="119"/>
    <x v="1"/>
    <x v="9"/>
    <x v="0"/>
    <n v="77020"/>
  </r>
  <r>
    <s v="CSKU07104_2ES"/>
    <x v="2"/>
    <x v="1"/>
    <x v="1"/>
    <x v="4"/>
    <x v="1"/>
    <x v="7"/>
    <x v="119"/>
    <x v="1"/>
    <x v="9"/>
    <x v="0"/>
    <n v="91480"/>
  </r>
  <r>
    <s v="CSKU07105_2ES"/>
    <x v="2"/>
    <x v="1"/>
    <x v="1"/>
    <x v="0"/>
    <x v="4"/>
    <x v="7"/>
    <x v="119"/>
    <x v="1"/>
    <x v="9"/>
    <x v="0"/>
    <n v="80980"/>
  </r>
  <r>
    <s v="CSKU05410_2ES"/>
    <x v="2"/>
    <x v="1"/>
    <x v="0"/>
    <x v="7"/>
    <x v="1"/>
    <x v="7"/>
    <x v="20"/>
    <x v="0"/>
    <x v="9"/>
    <x v="0"/>
    <n v="83120"/>
  </r>
  <r>
    <s v="CSKU05411_2ES"/>
    <x v="2"/>
    <x v="1"/>
    <x v="1"/>
    <x v="4"/>
    <x v="4"/>
    <x v="7"/>
    <x v="20"/>
    <x v="1"/>
    <x v="9"/>
    <x v="0"/>
    <n v="68420"/>
  </r>
  <r>
    <s v="CSKU05412_2ES"/>
    <x v="2"/>
    <x v="1"/>
    <x v="1"/>
    <x v="4"/>
    <x v="1"/>
    <x v="7"/>
    <x v="20"/>
    <x v="1"/>
    <x v="9"/>
    <x v="0"/>
    <n v="80500"/>
  </r>
  <r>
    <s v="CSKU05413_2ES"/>
    <x v="2"/>
    <x v="1"/>
    <x v="1"/>
    <x v="0"/>
    <x v="4"/>
    <x v="7"/>
    <x v="20"/>
    <x v="1"/>
    <x v="9"/>
    <x v="0"/>
    <n v="72380"/>
  </r>
  <r>
    <s v="CSKU05414_2ES"/>
    <x v="2"/>
    <x v="1"/>
    <x v="1"/>
    <x v="0"/>
    <x v="1"/>
    <x v="7"/>
    <x v="20"/>
    <x v="1"/>
    <x v="9"/>
    <x v="0"/>
    <n v="84460"/>
  </r>
  <r>
    <s v="CSKU05415_2ES"/>
    <x v="2"/>
    <x v="1"/>
    <x v="1"/>
    <x v="7"/>
    <x v="4"/>
    <x v="7"/>
    <x v="20"/>
    <x v="1"/>
    <x v="9"/>
    <x v="0"/>
    <n v="76360"/>
  </r>
  <r>
    <s v="CSKU05416_2ES"/>
    <x v="2"/>
    <x v="1"/>
    <x v="1"/>
    <x v="7"/>
    <x v="1"/>
    <x v="7"/>
    <x v="20"/>
    <x v="1"/>
    <x v="9"/>
    <x v="0"/>
    <n v="88440"/>
  </r>
  <r>
    <s v="CSKU05585_2ES"/>
    <x v="2"/>
    <x v="1"/>
    <x v="0"/>
    <x v="4"/>
    <x v="4"/>
    <x v="7"/>
    <x v="424"/>
    <x v="0"/>
    <x v="9"/>
    <x v="0"/>
    <n v="73400"/>
  </r>
  <r>
    <s v="CSKU05657_2ES"/>
    <x v="2"/>
    <x v="1"/>
    <x v="0"/>
    <x v="4"/>
    <x v="4"/>
    <x v="7"/>
    <x v="425"/>
    <x v="0"/>
    <x v="9"/>
    <x v="0"/>
    <n v="73400"/>
  </r>
  <r>
    <s v="CSKU05658_2ES"/>
    <x v="2"/>
    <x v="1"/>
    <x v="0"/>
    <x v="0"/>
    <x v="4"/>
    <x v="7"/>
    <x v="425"/>
    <x v="0"/>
    <x v="9"/>
    <x v="0"/>
    <n v="76930"/>
  </r>
  <r>
    <s v="CSKU05659_2ES"/>
    <x v="2"/>
    <x v="1"/>
    <x v="0"/>
    <x v="7"/>
    <x v="4"/>
    <x v="7"/>
    <x v="425"/>
    <x v="0"/>
    <x v="9"/>
    <x v="0"/>
    <n v="80500"/>
  </r>
  <r>
    <s v="CSKU05660_2ES"/>
    <x v="2"/>
    <x v="1"/>
    <x v="0"/>
    <x v="4"/>
    <x v="1"/>
    <x v="7"/>
    <x v="425"/>
    <x v="0"/>
    <x v="9"/>
    <x v="0"/>
    <n v="87020"/>
  </r>
  <r>
    <s v="CSKU07169_2ES"/>
    <x v="2"/>
    <x v="1"/>
    <x v="0"/>
    <x v="4"/>
    <x v="4"/>
    <x v="7"/>
    <x v="426"/>
    <x v="0"/>
    <x v="9"/>
    <x v="0"/>
    <n v="64800"/>
  </r>
  <r>
    <s v="CSKU07170_2ES"/>
    <x v="2"/>
    <x v="1"/>
    <x v="0"/>
    <x v="0"/>
    <x v="4"/>
    <x v="7"/>
    <x v="426"/>
    <x v="0"/>
    <x v="9"/>
    <x v="0"/>
    <n v="68330"/>
  </r>
  <r>
    <s v="CSKU07171_2ES"/>
    <x v="2"/>
    <x v="1"/>
    <x v="0"/>
    <x v="7"/>
    <x v="4"/>
    <x v="7"/>
    <x v="426"/>
    <x v="0"/>
    <x v="9"/>
    <x v="0"/>
    <n v="71900"/>
  </r>
  <r>
    <s v="CSKU07172_2ES"/>
    <x v="2"/>
    <x v="1"/>
    <x v="0"/>
    <x v="4"/>
    <x v="1"/>
    <x v="7"/>
    <x v="426"/>
    <x v="0"/>
    <x v="9"/>
    <x v="0"/>
    <n v="76040"/>
  </r>
  <r>
    <s v="CSKU06089_2ES"/>
    <x v="2"/>
    <x v="1"/>
    <x v="0"/>
    <x v="4"/>
    <x v="4"/>
    <x v="7"/>
    <x v="427"/>
    <x v="0"/>
    <x v="9"/>
    <x v="0"/>
    <n v="73400"/>
  </r>
  <r>
    <s v="CSKU06090_2ES"/>
    <x v="2"/>
    <x v="1"/>
    <x v="0"/>
    <x v="0"/>
    <x v="4"/>
    <x v="7"/>
    <x v="427"/>
    <x v="0"/>
    <x v="9"/>
    <x v="0"/>
    <n v="76930"/>
  </r>
  <r>
    <s v="CSKU06091_2ES"/>
    <x v="2"/>
    <x v="1"/>
    <x v="0"/>
    <x v="7"/>
    <x v="4"/>
    <x v="7"/>
    <x v="427"/>
    <x v="0"/>
    <x v="9"/>
    <x v="0"/>
    <n v="80500"/>
  </r>
  <r>
    <s v="CSKU06092_2ES"/>
    <x v="2"/>
    <x v="1"/>
    <x v="0"/>
    <x v="4"/>
    <x v="1"/>
    <x v="7"/>
    <x v="427"/>
    <x v="0"/>
    <x v="9"/>
    <x v="0"/>
    <n v="87020"/>
  </r>
  <r>
    <s v="CSKU06093_2ES"/>
    <x v="2"/>
    <x v="1"/>
    <x v="0"/>
    <x v="0"/>
    <x v="1"/>
    <x v="7"/>
    <x v="427"/>
    <x v="0"/>
    <x v="9"/>
    <x v="0"/>
    <n v="90550"/>
  </r>
  <r>
    <s v="CSKU06094_2ES"/>
    <x v="2"/>
    <x v="1"/>
    <x v="0"/>
    <x v="7"/>
    <x v="1"/>
    <x v="7"/>
    <x v="427"/>
    <x v="0"/>
    <x v="9"/>
    <x v="0"/>
    <n v="94100"/>
  </r>
  <r>
    <s v="CSKU05729_2ES"/>
    <x v="2"/>
    <x v="1"/>
    <x v="0"/>
    <x v="4"/>
    <x v="4"/>
    <x v="7"/>
    <x v="428"/>
    <x v="0"/>
    <x v="9"/>
    <x v="0"/>
    <n v="53860"/>
  </r>
  <r>
    <s v="CSKU05730_2ES"/>
    <x v="2"/>
    <x v="1"/>
    <x v="0"/>
    <x v="0"/>
    <x v="4"/>
    <x v="7"/>
    <x v="428"/>
    <x v="0"/>
    <x v="9"/>
    <x v="0"/>
    <n v="57390"/>
  </r>
  <r>
    <s v="CSKU05731_2ES"/>
    <x v="2"/>
    <x v="1"/>
    <x v="0"/>
    <x v="7"/>
    <x v="4"/>
    <x v="7"/>
    <x v="428"/>
    <x v="0"/>
    <x v="9"/>
    <x v="0"/>
    <n v="60960"/>
  </r>
  <r>
    <s v="CSKU05801_2ES"/>
    <x v="2"/>
    <x v="1"/>
    <x v="0"/>
    <x v="4"/>
    <x v="4"/>
    <x v="7"/>
    <x v="429"/>
    <x v="0"/>
    <x v="9"/>
    <x v="0"/>
    <n v="62460"/>
  </r>
  <r>
    <s v="CSKU05802_2ES"/>
    <x v="2"/>
    <x v="1"/>
    <x v="0"/>
    <x v="0"/>
    <x v="4"/>
    <x v="7"/>
    <x v="429"/>
    <x v="0"/>
    <x v="9"/>
    <x v="0"/>
    <n v="65990"/>
  </r>
  <r>
    <s v="CSKU05803_2ES"/>
    <x v="2"/>
    <x v="1"/>
    <x v="0"/>
    <x v="7"/>
    <x v="4"/>
    <x v="7"/>
    <x v="429"/>
    <x v="0"/>
    <x v="9"/>
    <x v="0"/>
    <n v="69560"/>
  </r>
  <r>
    <s v="CSKU05804_2ES"/>
    <x v="2"/>
    <x v="1"/>
    <x v="0"/>
    <x v="4"/>
    <x v="1"/>
    <x v="7"/>
    <x v="429"/>
    <x v="0"/>
    <x v="9"/>
    <x v="0"/>
    <n v="73420"/>
  </r>
  <r>
    <s v="CSKU05805_2ES"/>
    <x v="2"/>
    <x v="1"/>
    <x v="0"/>
    <x v="0"/>
    <x v="1"/>
    <x v="7"/>
    <x v="429"/>
    <x v="0"/>
    <x v="9"/>
    <x v="0"/>
    <n v="76950"/>
  </r>
  <r>
    <s v="CSKU05806_2ES"/>
    <x v="2"/>
    <x v="1"/>
    <x v="0"/>
    <x v="7"/>
    <x v="1"/>
    <x v="7"/>
    <x v="429"/>
    <x v="0"/>
    <x v="9"/>
    <x v="0"/>
    <n v="80500"/>
  </r>
  <r>
    <s v="CSKU05873_2ES"/>
    <x v="2"/>
    <x v="1"/>
    <x v="0"/>
    <x v="4"/>
    <x v="4"/>
    <x v="7"/>
    <x v="430"/>
    <x v="0"/>
    <x v="9"/>
    <x v="0"/>
    <n v="62460"/>
  </r>
  <r>
    <s v="CSKU05874_2ES"/>
    <x v="2"/>
    <x v="1"/>
    <x v="0"/>
    <x v="0"/>
    <x v="4"/>
    <x v="7"/>
    <x v="430"/>
    <x v="0"/>
    <x v="9"/>
    <x v="0"/>
    <n v="65990"/>
  </r>
  <r>
    <s v="CSKU05875_2ES"/>
    <x v="2"/>
    <x v="1"/>
    <x v="0"/>
    <x v="7"/>
    <x v="4"/>
    <x v="7"/>
    <x v="430"/>
    <x v="0"/>
    <x v="9"/>
    <x v="0"/>
    <n v="69560"/>
  </r>
  <r>
    <s v="CSKU05876_2ES"/>
    <x v="2"/>
    <x v="1"/>
    <x v="0"/>
    <x v="4"/>
    <x v="1"/>
    <x v="7"/>
    <x v="430"/>
    <x v="0"/>
    <x v="9"/>
    <x v="0"/>
    <n v="73420"/>
  </r>
  <r>
    <s v="CSKU05877_2ES"/>
    <x v="2"/>
    <x v="1"/>
    <x v="0"/>
    <x v="0"/>
    <x v="1"/>
    <x v="7"/>
    <x v="430"/>
    <x v="0"/>
    <x v="9"/>
    <x v="0"/>
    <n v="76950"/>
  </r>
  <r>
    <s v="CSKU05878_2ES"/>
    <x v="2"/>
    <x v="1"/>
    <x v="0"/>
    <x v="7"/>
    <x v="1"/>
    <x v="7"/>
    <x v="430"/>
    <x v="0"/>
    <x v="9"/>
    <x v="0"/>
    <n v="80500"/>
  </r>
  <r>
    <s v="CSKU05879_2ES"/>
    <x v="2"/>
    <x v="1"/>
    <x v="1"/>
    <x v="4"/>
    <x v="4"/>
    <x v="7"/>
    <x v="430"/>
    <x v="1"/>
    <x v="9"/>
    <x v="0"/>
    <n v="66080"/>
  </r>
  <r>
    <s v="CSKU05880_2ES"/>
    <x v="2"/>
    <x v="1"/>
    <x v="1"/>
    <x v="4"/>
    <x v="1"/>
    <x v="7"/>
    <x v="430"/>
    <x v="1"/>
    <x v="9"/>
    <x v="0"/>
    <n v="77880"/>
  </r>
  <r>
    <s v="CSKU05881_2ES"/>
    <x v="2"/>
    <x v="1"/>
    <x v="1"/>
    <x v="0"/>
    <x v="4"/>
    <x v="7"/>
    <x v="430"/>
    <x v="1"/>
    <x v="9"/>
    <x v="0"/>
    <n v="70040"/>
  </r>
  <r>
    <s v="CSKU05945_2ES"/>
    <x v="2"/>
    <x v="1"/>
    <x v="0"/>
    <x v="4"/>
    <x v="4"/>
    <x v="7"/>
    <x v="431"/>
    <x v="0"/>
    <x v="9"/>
    <x v="0"/>
    <n v="53860"/>
  </r>
  <r>
    <s v="CSKU05946_2ES"/>
    <x v="2"/>
    <x v="1"/>
    <x v="0"/>
    <x v="0"/>
    <x v="4"/>
    <x v="7"/>
    <x v="431"/>
    <x v="0"/>
    <x v="9"/>
    <x v="0"/>
    <n v="57390"/>
  </r>
  <r>
    <s v="CSKU06017_2ES"/>
    <x v="2"/>
    <x v="1"/>
    <x v="0"/>
    <x v="4"/>
    <x v="4"/>
    <x v="7"/>
    <x v="432"/>
    <x v="0"/>
    <x v="9"/>
    <x v="0"/>
    <n v="57140"/>
  </r>
  <r>
    <s v="CSKU06018_2ES"/>
    <x v="2"/>
    <x v="1"/>
    <x v="0"/>
    <x v="0"/>
    <x v="4"/>
    <x v="7"/>
    <x v="432"/>
    <x v="0"/>
    <x v="9"/>
    <x v="0"/>
    <n v="60670"/>
  </r>
  <r>
    <s v="CSKU06019_2ES"/>
    <x v="2"/>
    <x v="1"/>
    <x v="0"/>
    <x v="7"/>
    <x v="4"/>
    <x v="7"/>
    <x v="432"/>
    <x v="0"/>
    <x v="9"/>
    <x v="0"/>
    <n v="64240"/>
  </r>
  <r>
    <s v="CSKU06020_2ES"/>
    <x v="2"/>
    <x v="1"/>
    <x v="0"/>
    <x v="4"/>
    <x v="1"/>
    <x v="7"/>
    <x v="432"/>
    <x v="0"/>
    <x v="9"/>
    <x v="0"/>
    <n v="67500"/>
  </r>
  <r>
    <s v="CSKU06021_2ES"/>
    <x v="2"/>
    <x v="1"/>
    <x v="0"/>
    <x v="0"/>
    <x v="1"/>
    <x v="7"/>
    <x v="432"/>
    <x v="0"/>
    <x v="9"/>
    <x v="0"/>
    <n v="71030"/>
  </r>
  <r>
    <s v="CSKU06022_2ES"/>
    <x v="2"/>
    <x v="1"/>
    <x v="0"/>
    <x v="7"/>
    <x v="1"/>
    <x v="7"/>
    <x v="432"/>
    <x v="0"/>
    <x v="9"/>
    <x v="0"/>
    <n v="74580"/>
  </r>
  <r>
    <s v="CSKU06023_2ES"/>
    <x v="2"/>
    <x v="1"/>
    <x v="1"/>
    <x v="4"/>
    <x v="4"/>
    <x v="7"/>
    <x v="432"/>
    <x v="1"/>
    <x v="9"/>
    <x v="0"/>
    <n v="61400"/>
  </r>
  <r>
    <s v="CSKU04532_3EK"/>
    <x v="1"/>
    <x v="0"/>
    <x v="0"/>
    <x v="2"/>
    <x v="4"/>
    <x v="1"/>
    <x v="19"/>
    <x v="0"/>
    <x v="8"/>
    <x v="0"/>
    <n v="40400"/>
  </r>
  <r>
    <s v="CSKU04533_3EK"/>
    <x v="1"/>
    <x v="0"/>
    <x v="0"/>
    <x v="2"/>
    <x v="1"/>
    <x v="6"/>
    <x v="19"/>
    <x v="0"/>
    <x v="7"/>
    <x v="0"/>
    <n v="39890"/>
  </r>
  <r>
    <s v="CSKU04534_3EK"/>
    <x v="1"/>
    <x v="0"/>
    <x v="0"/>
    <x v="2"/>
    <x v="1"/>
    <x v="1"/>
    <x v="19"/>
    <x v="0"/>
    <x v="8"/>
    <x v="0"/>
    <n v="44020"/>
  </r>
  <r>
    <s v="CSKU04535_3EK"/>
    <x v="1"/>
    <x v="0"/>
    <x v="1"/>
    <x v="0"/>
    <x v="4"/>
    <x v="6"/>
    <x v="19"/>
    <x v="1"/>
    <x v="7"/>
    <x v="0"/>
    <n v="29050"/>
  </r>
  <r>
    <s v="CSKU04536_3EK"/>
    <x v="1"/>
    <x v="0"/>
    <x v="1"/>
    <x v="0"/>
    <x v="4"/>
    <x v="1"/>
    <x v="19"/>
    <x v="1"/>
    <x v="8"/>
    <x v="0"/>
    <n v="32250"/>
  </r>
  <r>
    <s v="CSKU04537_3EK"/>
    <x v="1"/>
    <x v="0"/>
    <x v="1"/>
    <x v="0"/>
    <x v="1"/>
    <x v="6"/>
    <x v="19"/>
    <x v="1"/>
    <x v="7"/>
    <x v="0"/>
    <n v="30900"/>
  </r>
  <r>
    <s v="CSKU04538_3EK"/>
    <x v="1"/>
    <x v="0"/>
    <x v="1"/>
    <x v="0"/>
    <x v="1"/>
    <x v="1"/>
    <x v="19"/>
    <x v="1"/>
    <x v="8"/>
    <x v="0"/>
    <n v="35110"/>
  </r>
  <r>
    <s v="CSKU04539_3EK"/>
    <x v="1"/>
    <x v="0"/>
    <x v="1"/>
    <x v="6"/>
    <x v="4"/>
    <x v="6"/>
    <x v="19"/>
    <x v="1"/>
    <x v="7"/>
    <x v="0"/>
    <n v="33950"/>
  </r>
  <r>
    <s v="CSKU04540_3EK"/>
    <x v="1"/>
    <x v="0"/>
    <x v="1"/>
    <x v="6"/>
    <x v="4"/>
    <x v="1"/>
    <x v="19"/>
    <x v="1"/>
    <x v="8"/>
    <x v="0"/>
    <n v="37160"/>
  </r>
  <r>
    <s v="CSKU04541_3EK"/>
    <x v="1"/>
    <x v="0"/>
    <x v="1"/>
    <x v="6"/>
    <x v="1"/>
    <x v="6"/>
    <x v="19"/>
    <x v="1"/>
    <x v="7"/>
    <x v="0"/>
    <n v="36160"/>
  </r>
  <r>
    <s v="CSKU04265_3EK"/>
    <x v="1"/>
    <x v="0"/>
    <x v="1"/>
    <x v="0"/>
    <x v="4"/>
    <x v="6"/>
    <x v="24"/>
    <x v="1"/>
    <x v="7"/>
    <x v="0"/>
    <n v="29050"/>
  </r>
  <r>
    <s v="CSKU04266_3EK"/>
    <x v="1"/>
    <x v="0"/>
    <x v="1"/>
    <x v="0"/>
    <x v="4"/>
    <x v="1"/>
    <x v="24"/>
    <x v="1"/>
    <x v="8"/>
    <x v="0"/>
    <n v="32250"/>
  </r>
  <r>
    <s v="CSKU04267_3EK"/>
    <x v="1"/>
    <x v="0"/>
    <x v="1"/>
    <x v="0"/>
    <x v="1"/>
    <x v="6"/>
    <x v="24"/>
    <x v="1"/>
    <x v="7"/>
    <x v="0"/>
    <n v="30900"/>
  </r>
  <r>
    <s v="CSKU04268_3EK"/>
    <x v="1"/>
    <x v="0"/>
    <x v="1"/>
    <x v="0"/>
    <x v="1"/>
    <x v="1"/>
    <x v="24"/>
    <x v="1"/>
    <x v="8"/>
    <x v="0"/>
    <n v="35110"/>
  </r>
  <r>
    <s v="CSKU04269_3EK"/>
    <x v="1"/>
    <x v="0"/>
    <x v="1"/>
    <x v="6"/>
    <x v="4"/>
    <x v="6"/>
    <x v="24"/>
    <x v="1"/>
    <x v="7"/>
    <x v="0"/>
    <n v="33950"/>
  </r>
  <r>
    <s v="CSKU04270_3EK"/>
    <x v="1"/>
    <x v="0"/>
    <x v="1"/>
    <x v="6"/>
    <x v="4"/>
    <x v="1"/>
    <x v="24"/>
    <x v="1"/>
    <x v="8"/>
    <x v="0"/>
    <n v="37160"/>
  </r>
  <r>
    <s v="CSKU04271_3EK"/>
    <x v="1"/>
    <x v="0"/>
    <x v="1"/>
    <x v="6"/>
    <x v="1"/>
    <x v="6"/>
    <x v="24"/>
    <x v="1"/>
    <x v="7"/>
    <x v="0"/>
    <n v="36160"/>
  </r>
  <r>
    <s v="CSKU04272_3EK"/>
    <x v="1"/>
    <x v="0"/>
    <x v="1"/>
    <x v="6"/>
    <x v="1"/>
    <x v="1"/>
    <x v="24"/>
    <x v="1"/>
    <x v="8"/>
    <x v="0"/>
    <n v="40630"/>
  </r>
  <r>
    <s v="CSKU04273_3EK"/>
    <x v="1"/>
    <x v="0"/>
    <x v="1"/>
    <x v="2"/>
    <x v="4"/>
    <x v="6"/>
    <x v="24"/>
    <x v="1"/>
    <x v="7"/>
    <x v="0"/>
    <n v="38870"/>
  </r>
  <r>
    <s v="CSKU04274_3EK"/>
    <x v="1"/>
    <x v="0"/>
    <x v="1"/>
    <x v="2"/>
    <x v="4"/>
    <x v="1"/>
    <x v="24"/>
    <x v="1"/>
    <x v="8"/>
    <x v="0"/>
    <n v="42250"/>
  </r>
  <r>
    <s v="CSKU04275_3EK"/>
    <x v="1"/>
    <x v="0"/>
    <x v="1"/>
    <x v="2"/>
    <x v="1"/>
    <x v="6"/>
    <x v="24"/>
    <x v="1"/>
    <x v="7"/>
    <x v="0"/>
    <n v="41400"/>
  </r>
  <r>
    <s v="CSKU04276_3EK"/>
    <x v="1"/>
    <x v="0"/>
    <x v="1"/>
    <x v="2"/>
    <x v="1"/>
    <x v="1"/>
    <x v="24"/>
    <x v="1"/>
    <x v="8"/>
    <x v="0"/>
    <n v="46040"/>
  </r>
  <r>
    <s v="CSKU04875_2ES"/>
    <x v="2"/>
    <x v="1"/>
    <x v="1"/>
    <x v="0"/>
    <x v="1"/>
    <x v="7"/>
    <x v="21"/>
    <x v="1"/>
    <x v="9"/>
    <x v="0"/>
    <n v="95440"/>
  </r>
  <r>
    <s v="CSKU04876_2ES"/>
    <x v="2"/>
    <x v="1"/>
    <x v="1"/>
    <x v="7"/>
    <x v="1"/>
    <x v="7"/>
    <x v="21"/>
    <x v="1"/>
    <x v="9"/>
    <x v="0"/>
    <n v="99420"/>
  </r>
  <r>
    <s v="CSKU07313_2ES"/>
    <x v="2"/>
    <x v="1"/>
    <x v="0"/>
    <x v="4"/>
    <x v="4"/>
    <x v="7"/>
    <x v="433"/>
    <x v="0"/>
    <x v="9"/>
    <x v="0"/>
    <n v="64800"/>
  </r>
  <r>
    <s v="CSKU07314_2ES"/>
    <x v="2"/>
    <x v="1"/>
    <x v="0"/>
    <x v="0"/>
    <x v="4"/>
    <x v="7"/>
    <x v="433"/>
    <x v="0"/>
    <x v="9"/>
    <x v="0"/>
    <n v="68330"/>
  </r>
  <r>
    <s v="CSKU07315_2ES"/>
    <x v="2"/>
    <x v="1"/>
    <x v="0"/>
    <x v="7"/>
    <x v="4"/>
    <x v="7"/>
    <x v="433"/>
    <x v="0"/>
    <x v="9"/>
    <x v="0"/>
    <n v="71900"/>
  </r>
  <r>
    <s v="CSKU07316_2ES"/>
    <x v="2"/>
    <x v="1"/>
    <x v="0"/>
    <x v="4"/>
    <x v="1"/>
    <x v="7"/>
    <x v="433"/>
    <x v="0"/>
    <x v="9"/>
    <x v="0"/>
    <n v="76040"/>
  </r>
  <r>
    <s v="CSKU07317_2ES"/>
    <x v="2"/>
    <x v="1"/>
    <x v="0"/>
    <x v="0"/>
    <x v="1"/>
    <x v="7"/>
    <x v="433"/>
    <x v="0"/>
    <x v="9"/>
    <x v="0"/>
    <n v="79570"/>
  </r>
  <r>
    <s v="CSKU07318_2ES"/>
    <x v="2"/>
    <x v="1"/>
    <x v="0"/>
    <x v="7"/>
    <x v="1"/>
    <x v="7"/>
    <x v="433"/>
    <x v="0"/>
    <x v="9"/>
    <x v="0"/>
    <n v="83120"/>
  </r>
  <r>
    <s v="CSKU07319_2ES"/>
    <x v="2"/>
    <x v="1"/>
    <x v="1"/>
    <x v="4"/>
    <x v="4"/>
    <x v="7"/>
    <x v="433"/>
    <x v="1"/>
    <x v="9"/>
    <x v="0"/>
    <n v="68420"/>
  </r>
  <r>
    <s v="CSKU07320_2ES"/>
    <x v="2"/>
    <x v="1"/>
    <x v="1"/>
    <x v="4"/>
    <x v="1"/>
    <x v="7"/>
    <x v="433"/>
    <x v="1"/>
    <x v="9"/>
    <x v="0"/>
    <n v="80500"/>
  </r>
  <r>
    <s v="CSKU07321_2ES"/>
    <x v="2"/>
    <x v="1"/>
    <x v="1"/>
    <x v="0"/>
    <x v="4"/>
    <x v="7"/>
    <x v="433"/>
    <x v="1"/>
    <x v="9"/>
    <x v="0"/>
    <n v="72380"/>
  </r>
  <r>
    <s v="CSKU05586_2ES"/>
    <x v="2"/>
    <x v="1"/>
    <x v="0"/>
    <x v="0"/>
    <x v="4"/>
    <x v="7"/>
    <x v="424"/>
    <x v="0"/>
    <x v="9"/>
    <x v="0"/>
    <n v="76930"/>
  </r>
  <r>
    <s v="CSKU05661_2ES"/>
    <x v="2"/>
    <x v="1"/>
    <x v="0"/>
    <x v="0"/>
    <x v="1"/>
    <x v="7"/>
    <x v="425"/>
    <x v="0"/>
    <x v="9"/>
    <x v="0"/>
    <n v="90550"/>
  </r>
  <r>
    <s v="CSKU05732_2ES"/>
    <x v="2"/>
    <x v="1"/>
    <x v="0"/>
    <x v="4"/>
    <x v="1"/>
    <x v="7"/>
    <x v="428"/>
    <x v="0"/>
    <x v="9"/>
    <x v="0"/>
    <n v="62440"/>
  </r>
  <r>
    <s v="CSKU05009_2ES"/>
    <x v="2"/>
    <x v="1"/>
    <x v="0"/>
    <x v="4"/>
    <x v="4"/>
    <x v="7"/>
    <x v="434"/>
    <x v="0"/>
    <x v="9"/>
    <x v="0"/>
    <n v="147880"/>
  </r>
  <r>
    <s v="CSKU05010_2ES"/>
    <x v="2"/>
    <x v="1"/>
    <x v="0"/>
    <x v="0"/>
    <x v="4"/>
    <x v="7"/>
    <x v="434"/>
    <x v="0"/>
    <x v="9"/>
    <x v="0"/>
    <n v="43240"/>
  </r>
  <r>
    <s v="CSKU05011_2ES"/>
    <x v="2"/>
    <x v="1"/>
    <x v="0"/>
    <x v="7"/>
    <x v="4"/>
    <x v="7"/>
    <x v="434"/>
    <x v="0"/>
    <x v="9"/>
    <x v="0"/>
    <n v="80500"/>
  </r>
  <r>
    <s v="CSKU05012_2ES"/>
    <x v="2"/>
    <x v="1"/>
    <x v="0"/>
    <x v="4"/>
    <x v="1"/>
    <x v="7"/>
    <x v="434"/>
    <x v="0"/>
    <x v="9"/>
    <x v="0"/>
    <n v="87020"/>
  </r>
  <r>
    <s v="CSKU05013_2ES"/>
    <x v="2"/>
    <x v="1"/>
    <x v="0"/>
    <x v="0"/>
    <x v="1"/>
    <x v="7"/>
    <x v="434"/>
    <x v="0"/>
    <x v="9"/>
    <x v="0"/>
    <n v="49760"/>
  </r>
  <r>
    <s v="CSKU05014_2ES"/>
    <x v="2"/>
    <x v="1"/>
    <x v="0"/>
    <x v="7"/>
    <x v="1"/>
    <x v="7"/>
    <x v="434"/>
    <x v="0"/>
    <x v="9"/>
    <x v="0"/>
    <n v="94100"/>
  </r>
  <r>
    <s v="CSKU05117_2ES"/>
    <x v="2"/>
    <x v="1"/>
    <x v="0"/>
    <x v="4"/>
    <x v="4"/>
    <x v="7"/>
    <x v="435"/>
    <x v="0"/>
    <x v="9"/>
    <x v="0"/>
    <n v="56200"/>
  </r>
  <r>
    <s v="CSKU05118_2ES"/>
    <x v="2"/>
    <x v="1"/>
    <x v="0"/>
    <x v="0"/>
    <x v="4"/>
    <x v="7"/>
    <x v="435"/>
    <x v="0"/>
    <x v="9"/>
    <x v="0"/>
    <n v="59730"/>
  </r>
  <r>
    <s v="CSKU05119_2ES"/>
    <x v="2"/>
    <x v="1"/>
    <x v="0"/>
    <x v="7"/>
    <x v="4"/>
    <x v="7"/>
    <x v="435"/>
    <x v="0"/>
    <x v="9"/>
    <x v="0"/>
    <n v="63300"/>
  </r>
  <r>
    <s v="CSKU05120_2ES"/>
    <x v="2"/>
    <x v="1"/>
    <x v="0"/>
    <x v="4"/>
    <x v="1"/>
    <x v="7"/>
    <x v="435"/>
    <x v="0"/>
    <x v="9"/>
    <x v="0"/>
    <n v="65060"/>
  </r>
  <r>
    <s v="CSKU05121_2ES"/>
    <x v="2"/>
    <x v="1"/>
    <x v="0"/>
    <x v="0"/>
    <x v="1"/>
    <x v="7"/>
    <x v="435"/>
    <x v="0"/>
    <x v="9"/>
    <x v="0"/>
    <n v="68590"/>
  </r>
  <r>
    <s v="CSKU05122_2ES"/>
    <x v="2"/>
    <x v="1"/>
    <x v="0"/>
    <x v="7"/>
    <x v="1"/>
    <x v="7"/>
    <x v="435"/>
    <x v="0"/>
    <x v="9"/>
    <x v="0"/>
    <n v="72140"/>
  </r>
  <r>
    <s v="CSKU05123_2ES"/>
    <x v="2"/>
    <x v="1"/>
    <x v="1"/>
    <x v="4"/>
    <x v="4"/>
    <x v="7"/>
    <x v="435"/>
    <x v="1"/>
    <x v="9"/>
    <x v="0"/>
    <n v="59820"/>
  </r>
  <r>
    <s v="CSKU05297_2ES"/>
    <x v="2"/>
    <x v="1"/>
    <x v="0"/>
    <x v="4"/>
    <x v="4"/>
    <x v="7"/>
    <x v="18"/>
    <x v="0"/>
    <x v="9"/>
    <x v="0"/>
    <n v="64800"/>
  </r>
  <r>
    <s v="CSKU05298_2ES"/>
    <x v="2"/>
    <x v="1"/>
    <x v="0"/>
    <x v="0"/>
    <x v="4"/>
    <x v="7"/>
    <x v="18"/>
    <x v="0"/>
    <x v="9"/>
    <x v="0"/>
    <n v="68330"/>
  </r>
  <r>
    <s v="CSKU05299_2ES"/>
    <x v="2"/>
    <x v="1"/>
    <x v="0"/>
    <x v="7"/>
    <x v="4"/>
    <x v="7"/>
    <x v="18"/>
    <x v="0"/>
    <x v="9"/>
    <x v="0"/>
    <n v="71900"/>
  </r>
  <r>
    <s v="CSKU05300_2ES"/>
    <x v="2"/>
    <x v="1"/>
    <x v="0"/>
    <x v="4"/>
    <x v="1"/>
    <x v="7"/>
    <x v="18"/>
    <x v="0"/>
    <x v="9"/>
    <x v="0"/>
    <n v="76040"/>
  </r>
  <r>
    <s v="CSKU05301_2ES"/>
    <x v="2"/>
    <x v="1"/>
    <x v="0"/>
    <x v="0"/>
    <x v="1"/>
    <x v="7"/>
    <x v="18"/>
    <x v="0"/>
    <x v="9"/>
    <x v="0"/>
    <n v="79570"/>
  </r>
  <r>
    <s v="CSKU05302_2ES"/>
    <x v="2"/>
    <x v="1"/>
    <x v="0"/>
    <x v="7"/>
    <x v="1"/>
    <x v="7"/>
    <x v="18"/>
    <x v="0"/>
    <x v="9"/>
    <x v="0"/>
    <n v="83120"/>
  </r>
  <r>
    <s v="CSKU05303_2ES"/>
    <x v="2"/>
    <x v="1"/>
    <x v="1"/>
    <x v="4"/>
    <x v="4"/>
    <x v="7"/>
    <x v="18"/>
    <x v="1"/>
    <x v="9"/>
    <x v="0"/>
    <n v="68420"/>
  </r>
  <r>
    <s v="CSKU05304_2ES"/>
    <x v="2"/>
    <x v="1"/>
    <x v="1"/>
    <x v="4"/>
    <x v="1"/>
    <x v="7"/>
    <x v="18"/>
    <x v="1"/>
    <x v="9"/>
    <x v="0"/>
    <n v="80500"/>
  </r>
  <r>
    <s v="CSKU05333_2ES"/>
    <x v="2"/>
    <x v="1"/>
    <x v="0"/>
    <x v="4"/>
    <x v="4"/>
    <x v="7"/>
    <x v="436"/>
    <x v="0"/>
    <x v="9"/>
    <x v="0"/>
    <n v="64800"/>
  </r>
  <r>
    <s v="CSKU05334_2ES"/>
    <x v="2"/>
    <x v="1"/>
    <x v="0"/>
    <x v="0"/>
    <x v="4"/>
    <x v="7"/>
    <x v="436"/>
    <x v="0"/>
    <x v="9"/>
    <x v="0"/>
    <n v="68330"/>
  </r>
  <r>
    <s v="CSKU05335_2ES"/>
    <x v="2"/>
    <x v="1"/>
    <x v="0"/>
    <x v="7"/>
    <x v="4"/>
    <x v="7"/>
    <x v="436"/>
    <x v="0"/>
    <x v="9"/>
    <x v="0"/>
    <n v="71900"/>
  </r>
  <r>
    <s v="CSKU05336_2ES"/>
    <x v="2"/>
    <x v="1"/>
    <x v="0"/>
    <x v="4"/>
    <x v="1"/>
    <x v="7"/>
    <x v="436"/>
    <x v="0"/>
    <x v="9"/>
    <x v="0"/>
    <n v="76040"/>
  </r>
  <r>
    <s v="CSKU05513_2ES"/>
    <x v="2"/>
    <x v="1"/>
    <x v="0"/>
    <x v="4"/>
    <x v="4"/>
    <x v="7"/>
    <x v="437"/>
    <x v="0"/>
    <x v="9"/>
    <x v="0"/>
    <n v="62460"/>
  </r>
  <r>
    <s v="CSKU05514_2ES"/>
    <x v="2"/>
    <x v="1"/>
    <x v="0"/>
    <x v="0"/>
    <x v="4"/>
    <x v="7"/>
    <x v="437"/>
    <x v="0"/>
    <x v="9"/>
    <x v="0"/>
    <n v="65990"/>
  </r>
  <r>
    <s v="CSKU03264_3EK"/>
    <x v="1"/>
    <x v="0"/>
    <x v="0"/>
    <x v="0"/>
    <x v="4"/>
    <x v="1"/>
    <x v="116"/>
    <x v="0"/>
    <x v="8"/>
    <x v="0"/>
    <n v="30600"/>
  </r>
  <r>
    <s v="CSKU03265_3EK"/>
    <x v="1"/>
    <x v="0"/>
    <x v="0"/>
    <x v="0"/>
    <x v="1"/>
    <x v="6"/>
    <x v="116"/>
    <x v="0"/>
    <x v="7"/>
    <x v="0"/>
    <n v="29550"/>
  </r>
  <r>
    <s v="CSKU03266_3EK"/>
    <x v="1"/>
    <x v="0"/>
    <x v="0"/>
    <x v="0"/>
    <x v="1"/>
    <x v="1"/>
    <x v="116"/>
    <x v="0"/>
    <x v="8"/>
    <x v="0"/>
    <n v="33320"/>
  </r>
  <r>
    <s v="CSKU03267_3EK"/>
    <x v="1"/>
    <x v="0"/>
    <x v="0"/>
    <x v="6"/>
    <x v="4"/>
    <x v="6"/>
    <x v="116"/>
    <x v="0"/>
    <x v="7"/>
    <x v="0"/>
    <n v="32560"/>
  </r>
  <r>
    <s v="CSKU03268_3EK"/>
    <x v="1"/>
    <x v="0"/>
    <x v="0"/>
    <x v="6"/>
    <x v="4"/>
    <x v="1"/>
    <x v="116"/>
    <x v="0"/>
    <x v="8"/>
    <x v="0"/>
    <n v="35430"/>
  </r>
  <r>
    <s v="CSKU03269_3EK"/>
    <x v="1"/>
    <x v="0"/>
    <x v="0"/>
    <x v="6"/>
    <x v="1"/>
    <x v="6"/>
    <x v="116"/>
    <x v="0"/>
    <x v="7"/>
    <x v="0"/>
    <n v="34740"/>
  </r>
  <r>
    <s v="CSKU03270_3EK"/>
    <x v="1"/>
    <x v="0"/>
    <x v="0"/>
    <x v="6"/>
    <x v="1"/>
    <x v="1"/>
    <x v="116"/>
    <x v="0"/>
    <x v="8"/>
    <x v="0"/>
    <n v="38730"/>
  </r>
  <r>
    <s v="CSKU03271_3EK"/>
    <x v="1"/>
    <x v="0"/>
    <x v="0"/>
    <x v="2"/>
    <x v="4"/>
    <x v="6"/>
    <x v="116"/>
    <x v="0"/>
    <x v="7"/>
    <x v="0"/>
    <n v="37390"/>
  </r>
  <r>
    <s v="CSKU03272_3EK"/>
    <x v="1"/>
    <x v="0"/>
    <x v="0"/>
    <x v="2"/>
    <x v="4"/>
    <x v="1"/>
    <x v="116"/>
    <x v="0"/>
    <x v="8"/>
    <x v="0"/>
    <n v="40400"/>
  </r>
  <r>
    <s v="CSKU03273_3EK"/>
    <x v="1"/>
    <x v="0"/>
    <x v="0"/>
    <x v="2"/>
    <x v="1"/>
    <x v="6"/>
    <x v="116"/>
    <x v="0"/>
    <x v="7"/>
    <x v="0"/>
    <n v="39890"/>
  </r>
  <r>
    <s v="CSKU03274_3EK"/>
    <x v="1"/>
    <x v="0"/>
    <x v="0"/>
    <x v="2"/>
    <x v="1"/>
    <x v="1"/>
    <x v="116"/>
    <x v="0"/>
    <x v="8"/>
    <x v="0"/>
    <n v="44020"/>
  </r>
  <r>
    <s v="CSKU03627_3EK"/>
    <x v="1"/>
    <x v="0"/>
    <x v="0"/>
    <x v="6"/>
    <x v="4"/>
    <x v="6"/>
    <x v="26"/>
    <x v="0"/>
    <x v="7"/>
    <x v="0"/>
    <n v="32560"/>
  </r>
  <r>
    <s v="CSKU03628_3EK"/>
    <x v="1"/>
    <x v="0"/>
    <x v="0"/>
    <x v="6"/>
    <x v="4"/>
    <x v="1"/>
    <x v="26"/>
    <x v="0"/>
    <x v="8"/>
    <x v="0"/>
    <n v="35430"/>
  </r>
  <r>
    <s v="CSKU03629_3EK"/>
    <x v="1"/>
    <x v="0"/>
    <x v="0"/>
    <x v="6"/>
    <x v="1"/>
    <x v="6"/>
    <x v="26"/>
    <x v="0"/>
    <x v="7"/>
    <x v="0"/>
    <n v="34740"/>
  </r>
  <r>
    <s v="CSKU03630_3EK"/>
    <x v="1"/>
    <x v="0"/>
    <x v="0"/>
    <x v="6"/>
    <x v="1"/>
    <x v="1"/>
    <x v="26"/>
    <x v="0"/>
    <x v="8"/>
    <x v="0"/>
    <n v="38730"/>
  </r>
  <r>
    <s v="CSKU03631_3EK"/>
    <x v="1"/>
    <x v="0"/>
    <x v="0"/>
    <x v="2"/>
    <x v="4"/>
    <x v="6"/>
    <x v="26"/>
    <x v="0"/>
    <x v="7"/>
    <x v="0"/>
    <n v="37390"/>
  </r>
  <r>
    <s v="CSKU03632_3EK"/>
    <x v="1"/>
    <x v="0"/>
    <x v="0"/>
    <x v="2"/>
    <x v="4"/>
    <x v="1"/>
    <x v="26"/>
    <x v="0"/>
    <x v="8"/>
    <x v="0"/>
    <n v="40400"/>
  </r>
  <r>
    <s v="CSKU03633_3EK"/>
    <x v="1"/>
    <x v="0"/>
    <x v="0"/>
    <x v="2"/>
    <x v="1"/>
    <x v="6"/>
    <x v="26"/>
    <x v="0"/>
    <x v="7"/>
    <x v="0"/>
    <n v="39890"/>
  </r>
  <r>
    <s v="CSKU03634_3EK"/>
    <x v="1"/>
    <x v="0"/>
    <x v="0"/>
    <x v="2"/>
    <x v="1"/>
    <x v="1"/>
    <x v="26"/>
    <x v="0"/>
    <x v="8"/>
    <x v="0"/>
    <n v="44020"/>
  </r>
  <r>
    <s v="CSKU03635_3EK"/>
    <x v="1"/>
    <x v="0"/>
    <x v="1"/>
    <x v="0"/>
    <x v="4"/>
    <x v="6"/>
    <x v="26"/>
    <x v="1"/>
    <x v="7"/>
    <x v="0"/>
    <n v="29050"/>
  </r>
  <r>
    <s v="CSKU03636_3EK"/>
    <x v="1"/>
    <x v="0"/>
    <x v="1"/>
    <x v="0"/>
    <x v="4"/>
    <x v="1"/>
    <x v="26"/>
    <x v="1"/>
    <x v="8"/>
    <x v="0"/>
    <n v="32250"/>
  </r>
  <r>
    <s v="CSKU05587_2ES"/>
    <x v="2"/>
    <x v="1"/>
    <x v="0"/>
    <x v="7"/>
    <x v="4"/>
    <x v="7"/>
    <x v="424"/>
    <x v="0"/>
    <x v="9"/>
    <x v="0"/>
    <n v="80500"/>
  </r>
  <r>
    <s v="CSKU05588_2ES"/>
    <x v="2"/>
    <x v="1"/>
    <x v="0"/>
    <x v="4"/>
    <x v="1"/>
    <x v="7"/>
    <x v="424"/>
    <x v="0"/>
    <x v="9"/>
    <x v="0"/>
    <n v="87020"/>
  </r>
  <r>
    <s v="CSKU05589_2ES"/>
    <x v="2"/>
    <x v="1"/>
    <x v="0"/>
    <x v="0"/>
    <x v="1"/>
    <x v="7"/>
    <x v="424"/>
    <x v="0"/>
    <x v="9"/>
    <x v="0"/>
    <n v="90550"/>
  </r>
  <r>
    <s v="CSKU05590_2ES"/>
    <x v="2"/>
    <x v="1"/>
    <x v="0"/>
    <x v="7"/>
    <x v="1"/>
    <x v="7"/>
    <x v="424"/>
    <x v="0"/>
    <x v="9"/>
    <x v="0"/>
    <n v="94100"/>
  </r>
  <r>
    <s v="CSKU05591_2ES"/>
    <x v="2"/>
    <x v="1"/>
    <x v="1"/>
    <x v="4"/>
    <x v="4"/>
    <x v="7"/>
    <x v="424"/>
    <x v="1"/>
    <x v="9"/>
    <x v="0"/>
    <n v="77020"/>
  </r>
  <r>
    <s v="CSKU05592_2ES"/>
    <x v="2"/>
    <x v="1"/>
    <x v="1"/>
    <x v="4"/>
    <x v="1"/>
    <x v="7"/>
    <x v="424"/>
    <x v="1"/>
    <x v="9"/>
    <x v="0"/>
    <n v="91480"/>
  </r>
  <r>
    <s v="CSKU05593_2ES"/>
    <x v="2"/>
    <x v="1"/>
    <x v="1"/>
    <x v="0"/>
    <x v="4"/>
    <x v="7"/>
    <x v="424"/>
    <x v="1"/>
    <x v="9"/>
    <x v="0"/>
    <n v="80980"/>
  </r>
  <r>
    <s v="CSKU05594_2ES"/>
    <x v="2"/>
    <x v="1"/>
    <x v="1"/>
    <x v="0"/>
    <x v="1"/>
    <x v="7"/>
    <x v="424"/>
    <x v="1"/>
    <x v="9"/>
    <x v="0"/>
    <n v="95440"/>
  </r>
  <r>
    <s v="CSKU05662_2ES"/>
    <x v="2"/>
    <x v="1"/>
    <x v="0"/>
    <x v="7"/>
    <x v="1"/>
    <x v="7"/>
    <x v="425"/>
    <x v="0"/>
    <x v="9"/>
    <x v="0"/>
    <n v="94100"/>
  </r>
  <r>
    <s v="CSKU05663_2ES"/>
    <x v="2"/>
    <x v="1"/>
    <x v="1"/>
    <x v="4"/>
    <x v="4"/>
    <x v="7"/>
    <x v="425"/>
    <x v="1"/>
    <x v="9"/>
    <x v="0"/>
    <n v="77020"/>
  </r>
  <r>
    <s v="CSKU05664_2ES"/>
    <x v="2"/>
    <x v="1"/>
    <x v="1"/>
    <x v="4"/>
    <x v="1"/>
    <x v="7"/>
    <x v="425"/>
    <x v="1"/>
    <x v="9"/>
    <x v="0"/>
    <n v="91480"/>
  </r>
  <r>
    <s v="CSKU05665_2ES"/>
    <x v="2"/>
    <x v="1"/>
    <x v="1"/>
    <x v="0"/>
    <x v="4"/>
    <x v="7"/>
    <x v="425"/>
    <x v="1"/>
    <x v="9"/>
    <x v="0"/>
    <n v="80980"/>
  </r>
  <r>
    <s v="CSKU05666_2ES"/>
    <x v="2"/>
    <x v="1"/>
    <x v="1"/>
    <x v="0"/>
    <x v="1"/>
    <x v="7"/>
    <x v="425"/>
    <x v="1"/>
    <x v="9"/>
    <x v="0"/>
    <n v="95440"/>
  </r>
  <r>
    <s v="CSKU05667_2ES"/>
    <x v="2"/>
    <x v="1"/>
    <x v="1"/>
    <x v="7"/>
    <x v="4"/>
    <x v="7"/>
    <x v="425"/>
    <x v="1"/>
    <x v="9"/>
    <x v="0"/>
    <n v="84960"/>
  </r>
  <r>
    <s v="CSKU05668_2ES"/>
    <x v="2"/>
    <x v="1"/>
    <x v="1"/>
    <x v="7"/>
    <x v="1"/>
    <x v="7"/>
    <x v="425"/>
    <x v="1"/>
    <x v="9"/>
    <x v="0"/>
    <n v="99420"/>
  </r>
  <r>
    <s v="CSKU00932_2EK"/>
    <x v="1"/>
    <x v="1"/>
    <x v="0"/>
    <x v="4"/>
    <x v="4"/>
    <x v="6"/>
    <x v="36"/>
    <x v="0"/>
    <x v="5"/>
    <x v="0"/>
    <n v="25020"/>
  </r>
  <r>
    <s v="CSKU00933_2EK"/>
    <x v="1"/>
    <x v="1"/>
    <x v="0"/>
    <x v="4"/>
    <x v="4"/>
    <x v="1"/>
    <x v="36"/>
    <x v="0"/>
    <x v="6"/>
    <x v="0"/>
    <n v="27450"/>
  </r>
  <r>
    <s v="CSKU00934_2EK"/>
    <x v="1"/>
    <x v="1"/>
    <x v="0"/>
    <x v="4"/>
    <x v="1"/>
    <x v="6"/>
    <x v="36"/>
    <x v="0"/>
    <x v="5"/>
    <x v="0"/>
    <n v="26610"/>
  </r>
  <r>
    <s v="CSKU00935_2EK"/>
    <x v="1"/>
    <x v="1"/>
    <x v="0"/>
    <x v="4"/>
    <x v="1"/>
    <x v="1"/>
    <x v="36"/>
    <x v="0"/>
    <x v="6"/>
    <x v="0"/>
    <n v="29880"/>
  </r>
  <r>
    <s v="CSKU00936_2EK"/>
    <x v="1"/>
    <x v="1"/>
    <x v="1"/>
    <x v="1"/>
    <x v="4"/>
    <x v="6"/>
    <x v="36"/>
    <x v="1"/>
    <x v="5"/>
    <x v="0"/>
    <n v="20860"/>
  </r>
  <r>
    <s v="CSKU00937_2EK"/>
    <x v="1"/>
    <x v="1"/>
    <x v="1"/>
    <x v="1"/>
    <x v="4"/>
    <x v="1"/>
    <x v="36"/>
    <x v="1"/>
    <x v="6"/>
    <x v="0"/>
    <n v="23140"/>
  </r>
  <r>
    <s v="CSKU00938_2EK"/>
    <x v="1"/>
    <x v="1"/>
    <x v="1"/>
    <x v="1"/>
    <x v="1"/>
    <x v="6"/>
    <x v="36"/>
    <x v="1"/>
    <x v="5"/>
    <x v="0"/>
    <n v="22570"/>
  </r>
  <r>
    <s v="CSKU00939_2EK"/>
    <x v="1"/>
    <x v="1"/>
    <x v="1"/>
    <x v="1"/>
    <x v="1"/>
    <x v="1"/>
    <x v="36"/>
    <x v="1"/>
    <x v="6"/>
    <x v="0"/>
    <n v="25190"/>
  </r>
  <r>
    <s v="CSKU00940_2EK"/>
    <x v="1"/>
    <x v="1"/>
    <x v="1"/>
    <x v="5"/>
    <x v="4"/>
    <x v="6"/>
    <x v="36"/>
    <x v="1"/>
    <x v="5"/>
    <x v="0"/>
    <n v="23870"/>
  </r>
  <r>
    <s v="CSKU00941_2EK"/>
    <x v="1"/>
    <x v="1"/>
    <x v="1"/>
    <x v="5"/>
    <x v="4"/>
    <x v="1"/>
    <x v="36"/>
    <x v="1"/>
    <x v="6"/>
    <x v="0"/>
    <n v="26390"/>
  </r>
  <r>
    <s v="CSKU00942_2EK"/>
    <x v="1"/>
    <x v="1"/>
    <x v="1"/>
    <x v="5"/>
    <x v="1"/>
    <x v="6"/>
    <x v="36"/>
    <x v="1"/>
    <x v="5"/>
    <x v="0"/>
    <n v="25300"/>
  </r>
  <r>
    <s v="CSKU03990_3EK"/>
    <x v="1"/>
    <x v="0"/>
    <x v="0"/>
    <x v="6"/>
    <x v="1"/>
    <x v="1"/>
    <x v="23"/>
    <x v="0"/>
    <x v="8"/>
    <x v="0"/>
    <n v="38730"/>
  </r>
  <r>
    <s v="CSKU03991_3EK"/>
    <x v="1"/>
    <x v="0"/>
    <x v="0"/>
    <x v="2"/>
    <x v="4"/>
    <x v="6"/>
    <x v="23"/>
    <x v="0"/>
    <x v="7"/>
    <x v="0"/>
    <n v="37390"/>
  </r>
  <r>
    <s v="CSKU03992_3EK"/>
    <x v="1"/>
    <x v="0"/>
    <x v="0"/>
    <x v="2"/>
    <x v="4"/>
    <x v="1"/>
    <x v="23"/>
    <x v="0"/>
    <x v="8"/>
    <x v="0"/>
    <n v="40400"/>
  </r>
  <r>
    <s v="CSKU03993_3EK"/>
    <x v="1"/>
    <x v="0"/>
    <x v="0"/>
    <x v="2"/>
    <x v="1"/>
    <x v="6"/>
    <x v="23"/>
    <x v="0"/>
    <x v="7"/>
    <x v="0"/>
    <n v="39890"/>
  </r>
  <r>
    <s v="CSKU03994_3EK"/>
    <x v="1"/>
    <x v="0"/>
    <x v="0"/>
    <x v="2"/>
    <x v="1"/>
    <x v="1"/>
    <x v="23"/>
    <x v="0"/>
    <x v="8"/>
    <x v="0"/>
    <n v="44020"/>
  </r>
  <r>
    <s v="CSKU03995_3EK"/>
    <x v="1"/>
    <x v="0"/>
    <x v="1"/>
    <x v="0"/>
    <x v="4"/>
    <x v="6"/>
    <x v="23"/>
    <x v="1"/>
    <x v="7"/>
    <x v="0"/>
    <n v="29050"/>
  </r>
  <r>
    <s v="CSKU03996_3EK"/>
    <x v="1"/>
    <x v="0"/>
    <x v="1"/>
    <x v="0"/>
    <x v="4"/>
    <x v="1"/>
    <x v="23"/>
    <x v="1"/>
    <x v="8"/>
    <x v="0"/>
    <n v="32250"/>
  </r>
  <r>
    <s v="CSKU03997_3EK"/>
    <x v="1"/>
    <x v="0"/>
    <x v="1"/>
    <x v="0"/>
    <x v="1"/>
    <x v="6"/>
    <x v="23"/>
    <x v="1"/>
    <x v="7"/>
    <x v="0"/>
    <n v="30900"/>
  </r>
  <r>
    <s v="CSKU03998_3EK"/>
    <x v="1"/>
    <x v="0"/>
    <x v="1"/>
    <x v="0"/>
    <x v="1"/>
    <x v="1"/>
    <x v="23"/>
    <x v="1"/>
    <x v="8"/>
    <x v="0"/>
    <n v="35110"/>
  </r>
  <r>
    <s v="CSKU03999_3EK"/>
    <x v="1"/>
    <x v="0"/>
    <x v="1"/>
    <x v="6"/>
    <x v="4"/>
    <x v="6"/>
    <x v="23"/>
    <x v="1"/>
    <x v="7"/>
    <x v="0"/>
    <n v="33950"/>
  </r>
  <r>
    <s v="CSKU04000_3EK"/>
    <x v="1"/>
    <x v="0"/>
    <x v="1"/>
    <x v="6"/>
    <x v="4"/>
    <x v="1"/>
    <x v="23"/>
    <x v="1"/>
    <x v="8"/>
    <x v="0"/>
    <n v="37160"/>
  </r>
  <r>
    <s v="CSKU01825_2EK"/>
    <x v="1"/>
    <x v="1"/>
    <x v="0"/>
    <x v="1"/>
    <x v="4"/>
    <x v="1"/>
    <x v="115"/>
    <x v="0"/>
    <x v="6"/>
    <x v="0"/>
    <n v="21880"/>
  </r>
  <r>
    <s v="CSKU01826_2EK"/>
    <x v="1"/>
    <x v="1"/>
    <x v="0"/>
    <x v="1"/>
    <x v="1"/>
    <x v="6"/>
    <x v="115"/>
    <x v="0"/>
    <x v="5"/>
    <x v="0"/>
    <n v="21470"/>
  </r>
  <r>
    <s v="CSKU01827_2EK"/>
    <x v="1"/>
    <x v="1"/>
    <x v="0"/>
    <x v="1"/>
    <x v="1"/>
    <x v="1"/>
    <x v="115"/>
    <x v="0"/>
    <x v="6"/>
    <x v="0"/>
    <n v="23830"/>
  </r>
  <r>
    <s v="CSKU01828_2EK"/>
    <x v="1"/>
    <x v="1"/>
    <x v="0"/>
    <x v="5"/>
    <x v="4"/>
    <x v="6"/>
    <x v="115"/>
    <x v="0"/>
    <x v="5"/>
    <x v="0"/>
    <n v="22780"/>
  </r>
  <r>
    <s v="CSKU01829_2EK"/>
    <x v="1"/>
    <x v="1"/>
    <x v="0"/>
    <x v="5"/>
    <x v="4"/>
    <x v="1"/>
    <x v="115"/>
    <x v="0"/>
    <x v="6"/>
    <x v="0"/>
    <n v="25030"/>
  </r>
  <r>
    <s v="CSKU01830_2EK"/>
    <x v="1"/>
    <x v="1"/>
    <x v="0"/>
    <x v="5"/>
    <x v="1"/>
    <x v="6"/>
    <x v="115"/>
    <x v="0"/>
    <x v="5"/>
    <x v="0"/>
    <n v="24190"/>
  </r>
  <r>
    <s v="CSKU01831_2EK"/>
    <x v="1"/>
    <x v="1"/>
    <x v="0"/>
    <x v="5"/>
    <x v="1"/>
    <x v="1"/>
    <x v="115"/>
    <x v="0"/>
    <x v="6"/>
    <x v="0"/>
    <n v="27270"/>
  </r>
  <r>
    <s v="CSKU01832_2EK"/>
    <x v="1"/>
    <x v="1"/>
    <x v="0"/>
    <x v="4"/>
    <x v="4"/>
    <x v="6"/>
    <x v="115"/>
    <x v="0"/>
    <x v="5"/>
    <x v="0"/>
    <n v="25020"/>
  </r>
  <r>
    <s v="CSKU01833_2EK"/>
    <x v="1"/>
    <x v="1"/>
    <x v="0"/>
    <x v="4"/>
    <x v="4"/>
    <x v="1"/>
    <x v="115"/>
    <x v="0"/>
    <x v="6"/>
    <x v="0"/>
    <n v="27450"/>
  </r>
  <r>
    <s v="CSKU01834_2EK"/>
    <x v="1"/>
    <x v="1"/>
    <x v="0"/>
    <x v="4"/>
    <x v="1"/>
    <x v="6"/>
    <x v="115"/>
    <x v="0"/>
    <x v="5"/>
    <x v="0"/>
    <n v="26610"/>
  </r>
  <r>
    <s v="CSKU01835_2EK"/>
    <x v="1"/>
    <x v="1"/>
    <x v="0"/>
    <x v="4"/>
    <x v="1"/>
    <x v="1"/>
    <x v="115"/>
    <x v="0"/>
    <x v="6"/>
    <x v="0"/>
    <n v="29880"/>
  </r>
  <r>
    <s v="CSKU01836_2EK"/>
    <x v="1"/>
    <x v="1"/>
    <x v="1"/>
    <x v="1"/>
    <x v="4"/>
    <x v="6"/>
    <x v="115"/>
    <x v="1"/>
    <x v="5"/>
    <x v="0"/>
    <n v="20860"/>
  </r>
  <r>
    <s v="CSKU01292_2EK"/>
    <x v="1"/>
    <x v="1"/>
    <x v="0"/>
    <x v="4"/>
    <x v="4"/>
    <x v="6"/>
    <x v="34"/>
    <x v="0"/>
    <x v="5"/>
    <x v="0"/>
    <n v="25020"/>
  </r>
  <r>
    <s v="CSKU01293_2EK"/>
    <x v="1"/>
    <x v="1"/>
    <x v="0"/>
    <x v="4"/>
    <x v="4"/>
    <x v="1"/>
    <x v="34"/>
    <x v="0"/>
    <x v="6"/>
    <x v="0"/>
    <n v="27450"/>
  </r>
  <r>
    <s v="CSKU01294_2EK"/>
    <x v="1"/>
    <x v="1"/>
    <x v="0"/>
    <x v="4"/>
    <x v="1"/>
    <x v="6"/>
    <x v="34"/>
    <x v="0"/>
    <x v="5"/>
    <x v="0"/>
    <n v="26610"/>
  </r>
  <r>
    <s v="CSKU01295_2EK"/>
    <x v="1"/>
    <x v="1"/>
    <x v="0"/>
    <x v="4"/>
    <x v="1"/>
    <x v="1"/>
    <x v="34"/>
    <x v="0"/>
    <x v="6"/>
    <x v="0"/>
    <n v="29880"/>
  </r>
  <r>
    <s v="CSKU01296_2EK"/>
    <x v="1"/>
    <x v="1"/>
    <x v="1"/>
    <x v="1"/>
    <x v="4"/>
    <x v="6"/>
    <x v="34"/>
    <x v="1"/>
    <x v="5"/>
    <x v="0"/>
    <n v="20860"/>
  </r>
  <r>
    <s v="CSKU01297_2EK"/>
    <x v="1"/>
    <x v="1"/>
    <x v="1"/>
    <x v="1"/>
    <x v="4"/>
    <x v="1"/>
    <x v="34"/>
    <x v="1"/>
    <x v="6"/>
    <x v="0"/>
    <n v="23140"/>
  </r>
  <r>
    <s v="CSKU01298_2EK"/>
    <x v="1"/>
    <x v="1"/>
    <x v="1"/>
    <x v="1"/>
    <x v="1"/>
    <x v="6"/>
    <x v="34"/>
    <x v="1"/>
    <x v="5"/>
    <x v="0"/>
    <n v="22570"/>
  </r>
  <r>
    <s v="CSKU01299_2EK"/>
    <x v="1"/>
    <x v="1"/>
    <x v="1"/>
    <x v="1"/>
    <x v="1"/>
    <x v="1"/>
    <x v="34"/>
    <x v="1"/>
    <x v="6"/>
    <x v="0"/>
    <n v="25190"/>
  </r>
  <r>
    <s v="CSKU01300_2EK"/>
    <x v="1"/>
    <x v="1"/>
    <x v="1"/>
    <x v="5"/>
    <x v="4"/>
    <x v="6"/>
    <x v="34"/>
    <x v="1"/>
    <x v="5"/>
    <x v="0"/>
    <n v="23870"/>
  </r>
  <r>
    <s v="CSKU01301_2EK"/>
    <x v="1"/>
    <x v="1"/>
    <x v="1"/>
    <x v="5"/>
    <x v="4"/>
    <x v="1"/>
    <x v="34"/>
    <x v="1"/>
    <x v="6"/>
    <x v="0"/>
    <n v="26390"/>
  </r>
  <r>
    <s v="CSKU01302_2EK"/>
    <x v="1"/>
    <x v="1"/>
    <x v="1"/>
    <x v="5"/>
    <x v="1"/>
    <x v="6"/>
    <x v="34"/>
    <x v="1"/>
    <x v="5"/>
    <x v="0"/>
    <n v="25300"/>
  </r>
  <r>
    <s v="CSKU01571_2EK"/>
    <x v="1"/>
    <x v="1"/>
    <x v="1"/>
    <x v="5"/>
    <x v="4"/>
    <x v="1"/>
    <x v="33"/>
    <x v="1"/>
    <x v="6"/>
    <x v="0"/>
    <n v="26390"/>
  </r>
  <r>
    <s v="CSKU01572_2EK"/>
    <x v="1"/>
    <x v="1"/>
    <x v="1"/>
    <x v="5"/>
    <x v="1"/>
    <x v="6"/>
    <x v="33"/>
    <x v="1"/>
    <x v="5"/>
    <x v="0"/>
    <n v="25300"/>
  </r>
  <r>
    <s v="CSKU01573_2EK"/>
    <x v="1"/>
    <x v="1"/>
    <x v="1"/>
    <x v="5"/>
    <x v="1"/>
    <x v="1"/>
    <x v="33"/>
    <x v="1"/>
    <x v="6"/>
    <x v="0"/>
    <n v="28760"/>
  </r>
  <r>
    <s v="CSKU01574_2EK"/>
    <x v="1"/>
    <x v="1"/>
    <x v="1"/>
    <x v="4"/>
    <x v="4"/>
    <x v="6"/>
    <x v="33"/>
    <x v="1"/>
    <x v="5"/>
    <x v="0"/>
    <n v="26180"/>
  </r>
  <r>
    <s v="CSKU01575_2EK"/>
    <x v="1"/>
    <x v="1"/>
    <x v="1"/>
    <x v="4"/>
    <x v="4"/>
    <x v="1"/>
    <x v="33"/>
    <x v="1"/>
    <x v="6"/>
    <x v="0"/>
    <n v="28890"/>
  </r>
  <r>
    <s v="CSKU01576_2EK"/>
    <x v="1"/>
    <x v="1"/>
    <x v="1"/>
    <x v="4"/>
    <x v="1"/>
    <x v="6"/>
    <x v="33"/>
    <x v="1"/>
    <x v="5"/>
    <x v="0"/>
    <n v="27800"/>
  </r>
  <r>
    <s v="CSKU01577_2EK"/>
    <x v="1"/>
    <x v="1"/>
    <x v="1"/>
    <x v="4"/>
    <x v="1"/>
    <x v="1"/>
    <x v="33"/>
    <x v="1"/>
    <x v="6"/>
    <x v="0"/>
    <n v="31430"/>
  </r>
  <r>
    <s v="CSKU02187_2EK"/>
    <x v="1"/>
    <x v="1"/>
    <x v="0"/>
    <x v="1"/>
    <x v="1"/>
    <x v="1"/>
    <x v="28"/>
    <x v="0"/>
    <x v="6"/>
    <x v="0"/>
    <n v="23830"/>
  </r>
  <r>
    <s v="CSKU02188_2EK"/>
    <x v="1"/>
    <x v="1"/>
    <x v="0"/>
    <x v="5"/>
    <x v="4"/>
    <x v="6"/>
    <x v="28"/>
    <x v="0"/>
    <x v="5"/>
    <x v="0"/>
    <n v="22780"/>
  </r>
  <r>
    <s v="CSKU02189_2EK"/>
    <x v="1"/>
    <x v="1"/>
    <x v="0"/>
    <x v="5"/>
    <x v="4"/>
    <x v="1"/>
    <x v="28"/>
    <x v="0"/>
    <x v="6"/>
    <x v="0"/>
    <n v="25030"/>
  </r>
  <r>
    <s v="CSKU02190_2EK"/>
    <x v="1"/>
    <x v="1"/>
    <x v="0"/>
    <x v="5"/>
    <x v="1"/>
    <x v="6"/>
    <x v="28"/>
    <x v="0"/>
    <x v="5"/>
    <x v="0"/>
    <n v="24190"/>
  </r>
  <r>
    <s v="CSKU02191_2EK"/>
    <x v="1"/>
    <x v="1"/>
    <x v="0"/>
    <x v="5"/>
    <x v="1"/>
    <x v="1"/>
    <x v="28"/>
    <x v="0"/>
    <x v="6"/>
    <x v="0"/>
    <n v="27270"/>
  </r>
  <r>
    <s v="CSKU02192_2EK"/>
    <x v="1"/>
    <x v="1"/>
    <x v="0"/>
    <x v="4"/>
    <x v="4"/>
    <x v="6"/>
    <x v="28"/>
    <x v="0"/>
    <x v="5"/>
    <x v="0"/>
    <n v="25020"/>
  </r>
  <r>
    <s v="CSKU02193_2EK"/>
    <x v="1"/>
    <x v="1"/>
    <x v="0"/>
    <x v="4"/>
    <x v="4"/>
    <x v="1"/>
    <x v="28"/>
    <x v="0"/>
    <x v="6"/>
    <x v="0"/>
    <n v="27450"/>
  </r>
  <r>
    <s v="CSKU02194_2EK"/>
    <x v="1"/>
    <x v="1"/>
    <x v="0"/>
    <x v="4"/>
    <x v="1"/>
    <x v="6"/>
    <x v="28"/>
    <x v="0"/>
    <x v="5"/>
    <x v="0"/>
    <n v="26610"/>
  </r>
  <r>
    <s v="CSKU02195_2EK"/>
    <x v="1"/>
    <x v="1"/>
    <x v="0"/>
    <x v="4"/>
    <x v="1"/>
    <x v="1"/>
    <x v="28"/>
    <x v="0"/>
    <x v="6"/>
    <x v="0"/>
    <n v="29880"/>
  </r>
  <r>
    <s v="CSKU02196_2EK"/>
    <x v="1"/>
    <x v="1"/>
    <x v="1"/>
    <x v="1"/>
    <x v="4"/>
    <x v="6"/>
    <x v="28"/>
    <x v="1"/>
    <x v="5"/>
    <x v="0"/>
    <n v="20860"/>
  </r>
  <r>
    <s v="CSKU02197_2EK"/>
    <x v="1"/>
    <x v="1"/>
    <x v="1"/>
    <x v="1"/>
    <x v="4"/>
    <x v="1"/>
    <x v="28"/>
    <x v="1"/>
    <x v="6"/>
    <x v="0"/>
    <n v="23140"/>
  </r>
  <r>
    <s v="CSKU00573_2EK"/>
    <x v="1"/>
    <x v="1"/>
    <x v="0"/>
    <x v="4"/>
    <x v="4"/>
    <x v="1"/>
    <x v="38"/>
    <x v="0"/>
    <x v="6"/>
    <x v="0"/>
    <n v="27450"/>
  </r>
  <r>
    <s v="CSKU00574_2EK"/>
    <x v="1"/>
    <x v="1"/>
    <x v="0"/>
    <x v="4"/>
    <x v="1"/>
    <x v="6"/>
    <x v="38"/>
    <x v="0"/>
    <x v="5"/>
    <x v="0"/>
    <n v="26610"/>
  </r>
  <r>
    <s v="CSKU00575_2EK"/>
    <x v="1"/>
    <x v="1"/>
    <x v="0"/>
    <x v="4"/>
    <x v="1"/>
    <x v="1"/>
    <x v="38"/>
    <x v="0"/>
    <x v="6"/>
    <x v="0"/>
    <n v="29880"/>
  </r>
  <r>
    <s v="CSKU00576_2EK"/>
    <x v="1"/>
    <x v="1"/>
    <x v="1"/>
    <x v="1"/>
    <x v="4"/>
    <x v="6"/>
    <x v="38"/>
    <x v="1"/>
    <x v="5"/>
    <x v="0"/>
    <n v="20860"/>
  </r>
  <r>
    <s v="CSKU00577_2EK"/>
    <x v="1"/>
    <x v="1"/>
    <x v="1"/>
    <x v="1"/>
    <x v="4"/>
    <x v="1"/>
    <x v="38"/>
    <x v="1"/>
    <x v="6"/>
    <x v="0"/>
    <n v="23140"/>
  </r>
  <r>
    <s v="CSKU00578_2EK"/>
    <x v="1"/>
    <x v="1"/>
    <x v="1"/>
    <x v="1"/>
    <x v="1"/>
    <x v="6"/>
    <x v="38"/>
    <x v="1"/>
    <x v="5"/>
    <x v="0"/>
    <n v="22570"/>
  </r>
  <r>
    <s v="CSKU00579_2EK"/>
    <x v="1"/>
    <x v="1"/>
    <x v="1"/>
    <x v="1"/>
    <x v="1"/>
    <x v="1"/>
    <x v="38"/>
    <x v="1"/>
    <x v="6"/>
    <x v="0"/>
    <n v="25190"/>
  </r>
  <r>
    <s v="CSKU00580_2EK"/>
    <x v="1"/>
    <x v="1"/>
    <x v="1"/>
    <x v="5"/>
    <x v="4"/>
    <x v="6"/>
    <x v="38"/>
    <x v="1"/>
    <x v="5"/>
    <x v="0"/>
    <n v="23870"/>
  </r>
  <r>
    <s v="CSKU00581_2EK"/>
    <x v="1"/>
    <x v="1"/>
    <x v="1"/>
    <x v="5"/>
    <x v="4"/>
    <x v="1"/>
    <x v="38"/>
    <x v="1"/>
    <x v="6"/>
    <x v="0"/>
    <n v="26390"/>
  </r>
  <r>
    <s v="CSKU00582_2EK"/>
    <x v="1"/>
    <x v="1"/>
    <x v="1"/>
    <x v="5"/>
    <x v="1"/>
    <x v="6"/>
    <x v="38"/>
    <x v="1"/>
    <x v="5"/>
    <x v="0"/>
    <n v="25300"/>
  </r>
  <r>
    <s v="CSKU00583_2EK"/>
    <x v="1"/>
    <x v="1"/>
    <x v="1"/>
    <x v="5"/>
    <x v="1"/>
    <x v="1"/>
    <x v="38"/>
    <x v="1"/>
    <x v="6"/>
    <x v="0"/>
    <n v="28760"/>
  </r>
  <r>
    <s v="CSKU00136_2EK"/>
    <x v="1"/>
    <x v="1"/>
    <x v="1"/>
    <x v="4"/>
    <x v="1"/>
    <x v="6"/>
    <x v="41"/>
    <x v="1"/>
    <x v="5"/>
    <x v="0"/>
    <n v="22880"/>
  </r>
  <r>
    <s v="CSKU00137_2EK"/>
    <x v="1"/>
    <x v="1"/>
    <x v="1"/>
    <x v="4"/>
    <x v="1"/>
    <x v="1"/>
    <x v="41"/>
    <x v="1"/>
    <x v="6"/>
    <x v="0"/>
    <n v="26510"/>
  </r>
  <r>
    <s v="CSKU00391_2EK"/>
    <x v="1"/>
    <x v="1"/>
    <x v="0"/>
    <x v="5"/>
    <x v="1"/>
    <x v="1"/>
    <x v="40"/>
    <x v="0"/>
    <x v="6"/>
    <x v="0"/>
    <n v="27270"/>
  </r>
  <r>
    <s v="CSKU00392_2EK"/>
    <x v="1"/>
    <x v="1"/>
    <x v="0"/>
    <x v="4"/>
    <x v="4"/>
    <x v="6"/>
    <x v="40"/>
    <x v="0"/>
    <x v="5"/>
    <x v="0"/>
    <n v="25020"/>
  </r>
  <r>
    <s v="CSKU00393_2EK"/>
    <x v="1"/>
    <x v="1"/>
    <x v="0"/>
    <x v="4"/>
    <x v="4"/>
    <x v="1"/>
    <x v="40"/>
    <x v="0"/>
    <x v="6"/>
    <x v="0"/>
    <n v="27450"/>
  </r>
  <r>
    <s v="CSKU00394_2EK"/>
    <x v="1"/>
    <x v="1"/>
    <x v="0"/>
    <x v="4"/>
    <x v="1"/>
    <x v="6"/>
    <x v="40"/>
    <x v="0"/>
    <x v="5"/>
    <x v="0"/>
    <n v="26610"/>
  </r>
  <r>
    <s v="CSKU00395_2EK"/>
    <x v="1"/>
    <x v="1"/>
    <x v="0"/>
    <x v="4"/>
    <x v="1"/>
    <x v="1"/>
    <x v="40"/>
    <x v="0"/>
    <x v="6"/>
    <x v="0"/>
    <n v="29880"/>
  </r>
  <r>
    <s v="CSKU00396_2EK"/>
    <x v="1"/>
    <x v="1"/>
    <x v="1"/>
    <x v="1"/>
    <x v="4"/>
    <x v="6"/>
    <x v="40"/>
    <x v="1"/>
    <x v="5"/>
    <x v="0"/>
    <n v="20860"/>
  </r>
  <r>
    <s v="CSKU00397_2EK"/>
    <x v="1"/>
    <x v="1"/>
    <x v="1"/>
    <x v="1"/>
    <x v="4"/>
    <x v="1"/>
    <x v="40"/>
    <x v="1"/>
    <x v="6"/>
    <x v="0"/>
    <n v="23140"/>
  </r>
  <r>
    <s v="CSKU00398_2EK"/>
    <x v="1"/>
    <x v="1"/>
    <x v="1"/>
    <x v="1"/>
    <x v="1"/>
    <x v="6"/>
    <x v="40"/>
    <x v="1"/>
    <x v="5"/>
    <x v="0"/>
    <n v="22570"/>
  </r>
  <r>
    <s v="CSKU00399_2EK"/>
    <x v="1"/>
    <x v="1"/>
    <x v="1"/>
    <x v="1"/>
    <x v="1"/>
    <x v="1"/>
    <x v="40"/>
    <x v="1"/>
    <x v="6"/>
    <x v="0"/>
    <n v="25190"/>
  </r>
  <r>
    <s v="CSKU00400_2EK"/>
    <x v="1"/>
    <x v="1"/>
    <x v="1"/>
    <x v="5"/>
    <x v="4"/>
    <x v="6"/>
    <x v="40"/>
    <x v="1"/>
    <x v="5"/>
    <x v="0"/>
    <n v="23870"/>
  </r>
  <r>
    <s v="CSKU00401_2EK"/>
    <x v="1"/>
    <x v="1"/>
    <x v="1"/>
    <x v="5"/>
    <x v="4"/>
    <x v="1"/>
    <x v="40"/>
    <x v="1"/>
    <x v="6"/>
    <x v="0"/>
    <n v="26390"/>
  </r>
  <r>
    <m/>
    <x v="1"/>
    <x v="0"/>
    <x v="0"/>
    <x v="0"/>
    <x v="4"/>
    <x v="6"/>
    <x v="56"/>
    <x v="0"/>
    <x v="3"/>
    <x v="0"/>
    <n v="23080"/>
  </r>
  <r>
    <m/>
    <x v="1"/>
    <x v="0"/>
    <x v="0"/>
    <x v="0"/>
    <x v="4"/>
    <x v="6"/>
    <x v="57"/>
    <x v="0"/>
    <x v="3"/>
    <x v="0"/>
    <n v="22180"/>
  </r>
  <r>
    <m/>
    <x v="1"/>
    <x v="0"/>
    <x v="0"/>
    <x v="0"/>
    <x v="4"/>
    <x v="6"/>
    <x v="58"/>
    <x v="0"/>
    <x v="3"/>
    <x v="0"/>
    <n v="20380"/>
  </r>
  <r>
    <m/>
    <x v="1"/>
    <x v="0"/>
    <x v="0"/>
    <x v="0"/>
    <x v="4"/>
    <x v="6"/>
    <x v="5"/>
    <x v="0"/>
    <x v="3"/>
    <x v="0"/>
    <n v="21280"/>
  </r>
  <r>
    <m/>
    <x v="1"/>
    <x v="0"/>
    <x v="0"/>
    <x v="0"/>
    <x v="4"/>
    <x v="1"/>
    <x v="56"/>
    <x v="0"/>
    <x v="4"/>
    <x v="0"/>
    <n v="25950"/>
  </r>
  <r>
    <m/>
    <x v="1"/>
    <x v="0"/>
    <x v="0"/>
    <x v="0"/>
    <x v="4"/>
    <x v="1"/>
    <x v="57"/>
    <x v="0"/>
    <x v="4"/>
    <x v="0"/>
    <n v="25050"/>
  </r>
  <r>
    <m/>
    <x v="1"/>
    <x v="0"/>
    <x v="0"/>
    <x v="0"/>
    <x v="4"/>
    <x v="1"/>
    <x v="58"/>
    <x v="0"/>
    <x v="4"/>
    <x v="0"/>
    <n v="23250"/>
  </r>
  <r>
    <m/>
    <x v="1"/>
    <x v="0"/>
    <x v="0"/>
    <x v="0"/>
    <x v="4"/>
    <x v="1"/>
    <x v="5"/>
    <x v="0"/>
    <x v="4"/>
    <x v="0"/>
    <n v="24150"/>
  </r>
  <r>
    <m/>
    <x v="1"/>
    <x v="0"/>
    <x v="0"/>
    <x v="0"/>
    <x v="1"/>
    <x v="6"/>
    <x v="56"/>
    <x v="0"/>
    <x v="3"/>
    <x v="0"/>
    <n v="24740"/>
  </r>
  <r>
    <m/>
    <x v="1"/>
    <x v="0"/>
    <x v="0"/>
    <x v="3"/>
    <x v="3"/>
    <x v="8"/>
    <x v="55"/>
    <x v="0"/>
    <x v="4"/>
    <x v="0"/>
    <n v="40400"/>
  </r>
  <r>
    <m/>
    <x v="1"/>
    <x v="0"/>
    <x v="0"/>
    <x v="3"/>
    <x v="3"/>
    <x v="8"/>
    <x v="59"/>
    <x v="0"/>
    <x v="4"/>
    <x v="0"/>
    <n v="40400"/>
  </r>
  <r>
    <m/>
    <x v="1"/>
    <x v="0"/>
    <x v="0"/>
    <x v="3"/>
    <x v="3"/>
    <x v="8"/>
    <x v="60"/>
    <x v="0"/>
    <x v="4"/>
    <x v="0"/>
    <n v="40400"/>
  </r>
  <r>
    <m/>
    <x v="1"/>
    <x v="0"/>
    <x v="0"/>
    <x v="3"/>
    <x v="3"/>
    <x v="8"/>
    <x v="61"/>
    <x v="0"/>
    <x v="4"/>
    <x v="0"/>
    <n v="40400"/>
  </r>
  <r>
    <m/>
    <x v="1"/>
    <x v="0"/>
    <x v="0"/>
    <x v="3"/>
    <x v="3"/>
    <x v="8"/>
    <x v="62"/>
    <x v="0"/>
    <x v="4"/>
    <x v="0"/>
    <n v="40400"/>
  </r>
  <r>
    <m/>
    <x v="1"/>
    <x v="0"/>
    <x v="0"/>
    <x v="3"/>
    <x v="3"/>
    <x v="8"/>
    <x v="43"/>
    <x v="0"/>
    <x v="4"/>
    <x v="0"/>
    <n v="40400"/>
  </r>
  <r>
    <m/>
    <x v="1"/>
    <x v="0"/>
    <x v="0"/>
    <x v="3"/>
    <x v="3"/>
    <x v="8"/>
    <x v="4"/>
    <x v="0"/>
    <x v="4"/>
    <x v="0"/>
    <n v="40400"/>
  </r>
  <r>
    <m/>
    <x v="1"/>
    <x v="0"/>
    <x v="0"/>
    <x v="3"/>
    <x v="3"/>
    <x v="8"/>
    <x v="44"/>
    <x v="0"/>
    <x v="4"/>
    <x v="0"/>
    <n v="40400"/>
  </r>
  <r>
    <m/>
    <x v="1"/>
    <x v="0"/>
    <x v="0"/>
    <x v="3"/>
    <x v="3"/>
    <x v="8"/>
    <x v="45"/>
    <x v="0"/>
    <x v="4"/>
    <x v="0"/>
    <n v="40400"/>
  </r>
  <r>
    <m/>
    <x v="1"/>
    <x v="0"/>
    <x v="0"/>
    <x v="3"/>
    <x v="3"/>
    <x v="8"/>
    <x v="6"/>
    <x v="0"/>
    <x v="4"/>
    <x v="0"/>
    <n v="40400"/>
  </r>
  <r>
    <m/>
    <x v="1"/>
    <x v="0"/>
    <x v="0"/>
    <x v="3"/>
    <x v="3"/>
    <x v="8"/>
    <x v="46"/>
    <x v="0"/>
    <x v="4"/>
    <x v="0"/>
    <n v="40400"/>
  </r>
  <r>
    <m/>
    <x v="1"/>
    <x v="0"/>
    <x v="0"/>
    <x v="3"/>
    <x v="3"/>
    <x v="8"/>
    <x v="47"/>
    <x v="0"/>
    <x v="4"/>
    <x v="0"/>
    <n v="40400"/>
  </r>
  <r>
    <m/>
    <x v="1"/>
    <x v="0"/>
    <x v="0"/>
    <x v="2"/>
    <x v="2"/>
    <x v="5"/>
    <x v="48"/>
    <x v="0"/>
    <x v="3"/>
    <x v="0"/>
    <n v="29550"/>
  </r>
  <r>
    <m/>
    <x v="1"/>
    <x v="0"/>
    <x v="0"/>
    <x v="2"/>
    <x v="2"/>
    <x v="5"/>
    <x v="49"/>
    <x v="0"/>
    <x v="3"/>
    <x v="0"/>
    <n v="29550"/>
  </r>
  <r>
    <m/>
    <x v="1"/>
    <x v="0"/>
    <x v="0"/>
    <x v="2"/>
    <x v="3"/>
    <x v="5"/>
    <x v="54"/>
    <x v="0"/>
    <x v="4"/>
    <x v="0"/>
    <n v="33320"/>
  </r>
  <r>
    <m/>
    <x v="1"/>
    <x v="0"/>
    <x v="0"/>
    <x v="2"/>
    <x v="3"/>
    <x v="5"/>
    <x v="55"/>
    <x v="0"/>
    <x v="4"/>
    <x v="0"/>
    <n v="33320"/>
  </r>
  <r>
    <m/>
    <x v="1"/>
    <x v="0"/>
    <x v="0"/>
    <x v="2"/>
    <x v="3"/>
    <x v="5"/>
    <x v="59"/>
    <x v="0"/>
    <x v="4"/>
    <x v="0"/>
    <n v="33320"/>
  </r>
  <r>
    <m/>
    <x v="1"/>
    <x v="0"/>
    <x v="0"/>
    <x v="2"/>
    <x v="3"/>
    <x v="5"/>
    <x v="60"/>
    <x v="0"/>
    <x v="4"/>
    <x v="0"/>
    <n v="33320"/>
  </r>
  <r>
    <m/>
    <x v="1"/>
    <x v="0"/>
    <x v="0"/>
    <x v="2"/>
    <x v="3"/>
    <x v="5"/>
    <x v="61"/>
    <x v="0"/>
    <x v="4"/>
    <x v="0"/>
    <n v="33320"/>
  </r>
  <r>
    <m/>
    <x v="1"/>
    <x v="0"/>
    <x v="0"/>
    <x v="2"/>
    <x v="3"/>
    <x v="5"/>
    <x v="62"/>
    <x v="0"/>
    <x v="4"/>
    <x v="0"/>
    <n v="33320"/>
  </r>
  <r>
    <m/>
    <x v="1"/>
    <x v="0"/>
    <x v="0"/>
    <x v="2"/>
    <x v="3"/>
    <x v="5"/>
    <x v="43"/>
    <x v="0"/>
    <x v="4"/>
    <x v="0"/>
    <n v="33320"/>
  </r>
  <r>
    <m/>
    <x v="1"/>
    <x v="0"/>
    <x v="0"/>
    <x v="2"/>
    <x v="3"/>
    <x v="5"/>
    <x v="4"/>
    <x v="0"/>
    <x v="4"/>
    <x v="0"/>
    <n v="33320"/>
  </r>
  <r>
    <m/>
    <x v="1"/>
    <x v="0"/>
    <x v="0"/>
    <x v="2"/>
    <x v="3"/>
    <x v="5"/>
    <x v="44"/>
    <x v="0"/>
    <x v="4"/>
    <x v="0"/>
    <n v="33320"/>
  </r>
  <r>
    <m/>
    <x v="1"/>
    <x v="0"/>
    <x v="0"/>
    <x v="2"/>
    <x v="3"/>
    <x v="5"/>
    <x v="45"/>
    <x v="0"/>
    <x v="4"/>
    <x v="0"/>
    <n v="33320"/>
  </r>
  <r>
    <m/>
    <x v="1"/>
    <x v="0"/>
    <x v="0"/>
    <x v="2"/>
    <x v="3"/>
    <x v="5"/>
    <x v="6"/>
    <x v="0"/>
    <x v="4"/>
    <x v="0"/>
    <n v="33320"/>
  </r>
  <r>
    <m/>
    <x v="1"/>
    <x v="0"/>
    <x v="0"/>
    <x v="2"/>
    <x v="3"/>
    <x v="5"/>
    <x v="46"/>
    <x v="0"/>
    <x v="4"/>
    <x v="0"/>
    <n v="33320"/>
  </r>
  <r>
    <m/>
    <x v="1"/>
    <x v="0"/>
    <x v="0"/>
    <x v="2"/>
    <x v="3"/>
    <x v="5"/>
    <x v="47"/>
    <x v="0"/>
    <x v="4"/>
    <x v="0"/>
    <n v="33320"/>
  </r>
  <r>
    <m/>
    <x v="1"/>
    <x v="0"/>
    <x v="0"/>
    <x v="2"/>
    <x v="3"/>
    <x v="4"/>
    <x v="48"/>
    <x v="0"/>
    <x v="4"/>
    <x v="0"/>
    <n v="38730"/>
  </r>
  <r>
    <m/>
    <x v="1"/>
    <x v="0"/>
    <x v="1"/>
    <x v="3"/>
    <x v="2"/>
    <x v="8"/>
    <x v="51"/>
    <x v="1"/>
    <x v="3"/>
    <x v="0"/>
    <n v="38870"/>
  </r>
  <r>
    <m/>
    <x v="1"/>
    <x v="0"/>
    <x v="1"/>
    <x v="3"/>
    <x v="2"/>
    <x v="8"/>
    <x v="52"/>
    <x v="1"/>
    <x v="3"/>
    <x v="0"/>
    <n v="38870"/>
  </r>
  <r>
    <m/>
    <x v="1"/>
    <x v="0"/>
    <x v="1"/>
    <x v="3"/>
    <x v="2"/>
    <x v="8"/>
    <x v="53"/>
    <x v="1"/>
    <x v="3"/>
    <x v="0"/>
    <n v="38870"/>
  </r>
  <r>
    <m/>
    <x v="1"/>
    <x v="0"/>
    <x v="1"/>
    <x v="3"/>
    <x v="2"/>
    <x v="8"/>
    <x v="54"/>
    <x v="1"/>
    <x v="3"/>
    <x v="0"/>
    <n v="38870"/>
  </r>
  <r>
    <m/>
    <x v="1"/>
    <x v="0"/>
    <x v="1"/>
    <x v="3"/>
    <x v="2"/>
    <x v="8"/>
    <x v="55"/>
    <x v="1"/>
    <x v="3"/>
    <x v="0"/>
    <n v="38870"/>
  </r>
  <r>
    <m/>
    <x v="1"/>
    <x v="0"/>
    <x v="1"/>
    <x v="3"/>
    <x v="2"/>
    <x v="8"/>
    <x v="59"/>
    <x v="1"/>
    <x v="3"/>
    <x v="0"/>
    <n v="38870"/>
  </r>
  <r>
    <m/>
    <x v="1"/>
    <x v="0"/>
    <x v="1"/>
    <x v="3"/>
    <x v="2"/>
    <x v="8"/>
    <x v="60"/>
    <x v="1"/>
    <x v="3"/>
    <x v="0"/>
    <n v="38870"/>
  </r>
  <r>
    <m/>
    <x v="1"/>
    <x v="0"/>
    <x v="1"/>
    <x v="3"/>
    <x v="2"/>
    <x v="8"/>
    <x v="61"/>
    <x v="1"/>
    <x v="3"/>
    <x v="0"/>
    <n v="38870"/>
  </r>
  <r>
    <m/>
    <x v="1"/>
    <x v="0"/>
    <x v="1"/>
    <x v="3"/>
    <x v="2"/>
    <x v="8"/>
    <x v="62"/>
    <x v="1"/>
    <x v="3"/>
    <x v="0"/>
    <n v="38870"/>
  </r>
  <r>
    <m/>
    <x v="1"/>
    <x v="0"/>
    <x v="1"/>
    <x v="3"/>
    <x v="2"/>
    <x v="8"/>
    <x v="43"/>
    <x v="1"/>
    <x v="3"/>
    <x v="0"/>
    <n v="38870"/>
  </r>
  <r>
    <m/>
    <x v="1"/>
    <x v="0"/>
    <x v="1"/>
    <x v="3"/>
    <x v="2"/>
    <x v="8"/>
    <x v="4"/>
    <x v="1"/>
    <x v="3"/>
    <x v="0"/>
    <n v="38870"/>
  </r>
  <r>
    <m/>
    <x v="1"/>
    <x v="0"/>
    <x v="1"/>
    <x v="3"/>
    <x v="2"/>
    <x v="8"/>
    <x v="44"/>
    <x v="1"/>
    <x v="3"/>
    <x v="0"/>
    <n v="38870"/>
  </r>
  <r>
    <m/>
    <x v="1"/>
    <x v="0"/>
    <x v="1"/>
    <x v="3"/>
    <x v="2"/>
    <x v="8"/>
    <x v="45"/>
    <x v="1"/>
    <x v="3"/>
    <x v="0"/>
    <n v="38870"/>
  </r>
  <r>
    <m/>
    <x v="1"/>
    <x v="0"/>
    <x v="1"/>
    <x v="3"/>
    <x v="2"/>
    <x v="8"/>
    <x v="6"/>
    <x v="1"/>
    <x v="3"/>
    <x v="0"/>
    <n v="38870"/>
  </r>
  <r>
    <m/>
    <x v="1"/>
    <x v="0"/>
    <x v="1"/>
    <x v="2"/>
    <x v="3"/>
    <x v="5"/>
    <x v="45"/>
    <x v="1"/>
    <x v="4"/>
    <x v="0"/>
    <n v="35110"/>
  </r>
  <r>
    <m/>
    <x v="1"/>
    <x v="0"/>
    <x v="1"/>
    <x v="2"/>
    <x v="3"/>
    <x v="5"/>
    <x v="6"/>
    <x v="1"/>
    <x v="4"/>
    <x v="0"/>
    <n v="35110"/>
  </r>
  <r>
    <m/>
    <x v="1"/>
    <x v="0"/>
    <x v="1"/>
    <x v="2"/>
    <x v="3"/>
    <x v="5"/>
    <x v="46"/>
    <x v="1"/>
    <x v="4"/>
    <x v="0"/>
    <n v="35110"/>
  </r>
  <r>
    <m/>
    <x v="1"/>
    <x v="0"/>
    <x v="1"/>
    <x v="2"/>
    <x v="3"/>
    <x v="5"/>
    <x v="47"/>
    <x v="1"/>
    <x v="4"/>
    <x v="0"/>
    <n v="35110"/>
  </r>
  <r>
    <m/>
    <x v="1"/>
    <x v="0"/>
    <x v="1"/>
    <x v="2"/>
    <x v="3"/>
    <x v="4"/>
    <x v="48"/>
    <x v="1"/>
    <x v="4"/>
    <x v="0"/>
    <n v="40630"/>
  </r>
  <r>
    <m/>
    <x v="1"/>
    <x v="0"/>
    <x v="1"/>
    <x v="2"/>
    <x v="3"/>
    <x v="4"/>
    <x v="49"/>
    <x v="1"/>
    <x v="4"/>
    <x v="0"/>
    <n v="40630"/>
  </r>
  <r>
    <m/>
    <x v="1"/>
    <x v="0"/>
    <x v="1"/>
    <x v="2"/>
    <x v="3"/>
    <x v="4"/>
    <x v="50"/>
    <x v="1"/>
    <x v="4"/>
    <x v="0"/>
    <n v="40630"/>
  </r>
  <r>
    <m/>
    <x v="1"/>
    <x v="0"/>
    <x v="1"/>
    <x v="2"/>
    <x v="3"/>
    <x v="4"/>
    <x v="51"/>
    <x v="1"/>
    <x v="4"/>
    <x v="0"/>
    <n v="40630"/>
  </r>
  <r>
    <m/>
    <x v="1"/>
    <x v="0"/>
    <x v="1"/>
    <x v="2"/>
    <x v="3"/>
    <x v="4"/>
    <x v="52"/>
    <x v="1"/>
    <x v="4"/>
    <x v="0"/>
    <n v="40630"/>
  </r>
  <r>
    <m/>
    <x v="1"/>
    <x v="0"/>
    <x v="1"/>
    <x v="2"/>
    <x v="3"/>
    <x v="4"/>
    <x v="53"/>
    <x v="1"/>
    <x v="4"/>
    <x v="0"/>
    <n v="40630"/>
  </r>
  <r>
    <m/>
    <x v="1"/>
    <x v="0"/>
    <x v="1"/>
    <x v="2"/>
    <x v="3"/>
    <x v="4"/>
    <x v="54"/>
    <x v="1"/>
    <x v="4"/>
    <x v="0"/>
    <n v="40630"/>
  </r>
  <r>
    <m/>
    <x v="1"/>
    <x v="0"/>
    <x v="1"/>
    <x v="2"/>
    <x v="3"/>
    <x v="4"/>
    <x v="55"/>
    <x v="1"/>
    <x v="4"/>
    <x v="0"/>
    <n v="40630"/>
  </r>
  <r>
    <m/>
    <x v="1"/>
    <x v="0"/>
    <x v="1"/>
    <x v="2"/>
    <x v="3"/>
    <x v="4"/>
    <x v="59"/>
    <x v="1"/>
    <x v="4"/>
    <x v="0"/>
    <n v="40630"/>
  </r>
  <r>
    <m/>
    <x v="1"/>
    <x v="0"/>
    <x v="1"/>
    <x v="2"/>
    <x v="3"/>
    <x v="4"/>
    <x v="60"/>
    <x v="1"/>
    <x v="4"/>
    <x v="0"/>
    <n v="40630"/>
  </r>
  <r>
    <m/>
    <x v="1"/>
    <x v="1"/>
    <x v="0"/>
    <x v="3"/>
    <x v="2"/>
    <x v="3"/>
    <x v="77"/>
    <x v="0"/>
    <x v="2"/>
    <x v="0"/>
    <n v="22780"/>
  </r>
  <r>
    <m/>
    <x v="1"/>
    <x v="1"/>
    <x v="0"/>
    <x v="3"/>
    <x v="2"/>
    <x v="3"/>
    <x v="78"/>
    <x v="0"/>
    <x v="2"/>
    <x v="0"/>
    <n v="22780"/>
  </r>
  <r>
    <m/>
    <x v="1"/>
    <x v="1"/>
    <x v="0"/>
    <x v="3"/>
    <x v="2"/>
    <x v="3"/>
    <x v="79"/>
    <x v="0"/>
    <x v="2"/>
    <x v="0"/>
    <n v="22780"/>
  </r>
  <r>
    <m/>
    <x v="1"/>
    <x v="1"/>
    <x v="0"/>
    <x v="3"/>
    <x v="2"/>
    <x v="9"/>
    <x v="3"/>
    <x v="0"/>
    <x v="2"/>
    <x v="0"/>
    <n v="25020"/>
  </r>
  <r>
    <m/>
    <x v="1"/>
    <x v="1"/>
    <x v="0"/>
    <x v="3"/>
    <x v="2"/>
    <x v="9"/>
    <x v="2"/>
    <x v="0"/>
    <x v="2"/>
    <x v="0"/>
    <n v="25020"/>
  </r>
  <r>
    <m/>
    <x v="1"/>
    <x v="1"/>
    <x v="0"/>
    <x v="3"/>
    <x v="2"/>
    <x v="9"/>
    <x v="63"/>
    <x v="0"/>
    <x v="2"/>
    <x v="0"/>
    <n v="25020"/>
  </r>
  <r>
    <m/>
    <x v="1"/>
    <x v="1"/>
    <x v="0"/>
    <x v="3"/>
    <x v="2"/>
    <x v="9"/>
    <x v="64"/>
    <x v="0"/>
    <x v="2"/>
    <x v="0"/>
    <n v="25020"/>
  </r>
  <r>
    <m/>
    <x v="1"/>
    <x v="1"/>
    <x v="0"/>
    <x v="3"/>
    <x v="2"/>
    <x v="9"/>
    <x v="65"/>
    <x v="0"/>
    <x v="2"/>
    <x v="0"/>
    <n v="25020"/>
  </r>
  <r>
    <m/>
    <x v="1"/>
    <x v="1"/>
    <x v="0"/>
    <x v="3"/>
    <x v="2"/>
    <x v="9"/>
    <x v="66"/>
    <x v="0"/>
    <x v="2"/>
    <x v="0"/>
    <n v="25020"/>
  </r>
  <r>
    <m/>
    <x v="1"/>
    <x v="1"/>
    <x v="0"/>
    <x v="3"/>
    <x v="2"/>
    <x v="9"/>
    <x v="67"/>
    <x v="0"/>
    <x v="2"/>
    <x v="0"/>
    <n v="25020"/>
  </r>
  <r>
    <m/>
    <x v="1"/>
    <x v="1"/>
    <x v="0"/>
    <x v="3"/>
    <x v="2"/>
    <x v="9"/>
    <x v="68"/>
    <x v="0"/>
    <x v="2"/>
    <x v="0"/>
    <n v="25020"/>
  </r>
  <r>
    <m/>
    <x v="1"/>
    <x v="1"/>
    <x v="0"/>
    <x v="3"/>
    <x v="2"/>
    <x v="9"/>
    <x v="69"/>
    <x v="0"/>
    <x v="2"/>
    <x v="0"/>
    <n v="25020"/>
  </r>
  <r>
    <m/>
    <x v="1"/>
    <x v="1"/>
    <x v="0"/>
    <x v="3"/>
    <x v="2"/>
    <x v="9"/>
    <x v="70"/>
    <x v="0"/>
    <x v="2"/>
    <x v="0"/>
    <n v="25020"/>
  </r>
  <r>
    <m/>
    <x v="1"/>
    <x v="1"/>
    <x v="0"/>
    <x v="3"/>
    <x v="2"/>
    <x v="9"/>
    <x v="71"/>
    <x v="0"/>
    <x v="2"/>
    <x v="0"/>
    <n v="25020"/>
  </r>
  <r>
    <m/>
    <x v="1"/>
    <x v="1"/>
    <x v="0"/>
    <x v="3"/>
    <x v="2"/>
    <x v="9"/>
    <x v="72"/>
    <x v="0"/>
    <x v="2"/>
    <x v="0"/>
    <n v="25020"/>
  </r>
  <r>
    <m/>
    <x v="1"/>
    <x v="1"/>
    <x v="0"/>
    <x v="2"/>
    <x v="3"/>
    <x v="9"/>
    <x v="63"/>
    <x v="0"/>
    <x v="1"/>
    <x v="0"/>
    <n v="29880"/>
  </r>
  <r>
    <m/>
    <x v="1"/>
    <x v="1"/>
    <x v="0"/>
    <x v="2"/>
    <x v="3"/>
    <x v="9"/>
    <x v="64"/>
    <x v="0"/>
    <x v="1"/>
    <x v="0"/>
    <n v="29880"/>
  </r>
  <r>
    <m/>
    <x v="1"/>
    <x v="1"/>
    <x v="0"/>
    <x v="2"/>
    <x v="3"/>
    <x v="9"/>
    <x v="65"/>
    <x v="0"/>
    <x v="1"/>
    <x v="0"/>
    <n v="29880"/>
  </r>
  <r>
    <m/>
    <x v="1"/>
    <x v="1"/>
    <x v="0"/>
    <x v="2"/>
    <x v="3"/>
    <x v="9"/>
    <x v="66"/>
    <x v="0"/>
    <x v="1"/>
    <x v="0"/>
    <n v="29880"/>
  </r>
  <r>
    <m/>
    <x v="1"/>
    <x v="1"/>
    <x v="0"/>
    <x v="2"/>
    <x v="3"/>
    <x v="9"/>
    <x v="67"/>
    <x v="0"/>
    <x v="1"/>
    <x v="0"/>
    <n v="29880"/>
  </r>
  <r>
    <m/>
    <x v="1"/>
    <x v="1"/>
    <x v="0"/>
    <x v="2"/>
    <x v="3"/>
    <x v="9"/>
    <x v="68"/>
    <x v="0"/>
    <x v="1"/>
    <x v="0"/>
    <n v="29880"/>
  </r>
  <r>
    <m/>
    <x v="1"/>
    <x v="1"/>
    <x v="0"/>
    <x v="2"/>
    <x v="3"/>
    <x v="9"/>
    <x v="69"/>
    <x v="0"/>
    <x v="1"/>
    <x v="0"/>
    <n v="29880"/>
  </r>
  <r>
    <m/>
    <x v="1"/>
    <x v="1"/>
    <x v="0"/>
    <x v="2"/>
    <x v="3"/>
    <x v="9"/>
    <x v="70"/>
    <x v="0"/>
    <x v="1"/>
    <x v="0"/>
    <n v="29880"/>
  </r>
  <r>
    <m/>
    <x v="1"/>
    <x v="1"/>
    <x v="0"/>
    <x v="2"/>
    <x v="3"/>
    <x v="9"/>
    <x v="71"/>
    <x v="0"/>
    <x v="1"/>
    <x v="0"/>
    <n v="29880"/>
  </r>
  <r>
    <m/>
    <x v="1"/>
    <x v="1"/>
    <x v="0"/>
    <x v="2"/>
    <x v="3"/>
    <x v="9"/>
    <x v="72"/>
    <x v="0"/>
    <x v="1"/>
    <x v="0"/>
    <n v="29880"/>
  </r>
  <r>
    <m/>
    <x v="1"/>
    <x v="1"/>
    <x v="0"/>
    <x v="2"/>
    <x v="3"/>
    <x v="9"/>
    <x v="73"/>
    <x v="0"/>
    <x v="1"/>
    <x v="0"/>
    <n v="29880"/>
  </r>
  <r>
    <m/>
    <x v="1"/>
    <x v="1"/>
    <x v="0"/>
    <x v="2"/>
    <x v="3"/>
    <x v="9"/>
    <x v="74"/>
    <x v="0"/>
    <x v="1"/>
    <x v="0"/>
    <n v="29880"/>
  </r>
  <r>
    <m/>
    <x v="1"/>
    <x v="1"/>
    <x v="0"/>
    <x v="2"/>
    <x v="3"/>
    <x v="9"/>
    <x v="75"/>
    <x v="0"/>
    <x v="1"/>
    <x v="0"/>
    <n v="29880"/>
  </r>
  <r>
    <m/>
    <x v="1"/>
    <x v="1"/>
    <x v="0"/>
    <x v="2"/>
    <x v="3"/>
    <x v="9"/>
    <x v="76"/>
    <x v="0"/>
    <x v="1"/>
    <x v="0"/>
    <n v="29880"/>
  </r>
  <r>
    <m/>
    <x v="1"/>
    <x v="1"/>
    <x v="0"/>
    <x v="2"/>
    <x v="3"/>
    <x v="9"/>
    <x v="77"/>
    <x v="0"/>
    <x v="1"/>
    <x v="0"/>
    <n v="29880"/>
  </r>
  <r>
    <m/>
    <x v="1"/>
    <x v="1"/>
    <x v="0"/>
    <x v="2"/>
    <x v="3"/>
    <x v="9"/>
    <x v="78"/>
    <x v="0"/>
    <x v="1"/>
    <x v="0"/>
    <n v="29880"/>
  </r>
  <r>
    <m/>
    <x v="1"/>
    <x v="1"/>
    <x v="0"/>
    <x v="2"/>
    <x v="3"/>
    <x v="9"/>
    <x v="79"/>
    <x v="0"/>
    <x v="1"/>
    <x v="0"/>
    <n v="29880"/>
  </r>
  <r>
    <m/>
    <x v="1"/>
    <x v="1"/>
    <x v="1"/>
    <x v="2"/>
    <x v="3"/>
    <x v="3"/>
    <x v="2"/>
    <x v="1"/>
    <x v="1"/>
    <x v="0"/>
    <n v="28760"/>
  </r>
  <r>
    <m/>
    <x v="1"/>
    <x v="1"/>
    <x v="1"/>
    <x v="2"/>
    <x v="3"/>
    <x v="3"/>
    <x v="63"/>
    <x v="1"/>
    <x v="1"/>
    <x v="0"/>
    <n v="28760"/>
  </r>
  <r>
    <m/>
    <x v="1"/>
    <x v="1"/>
    <x v="1"/>
    <x v="2"/>
    <x v="3"/>
    <x v="3"/>
    <x v="64"/>
    <x v="1"/>
    <x v="1"/>
    <x v="0"/>
    <n v="28760"/>
  </r>
  <r>
    <m/>
    <x v="1"/>
    <x v="1"/>
    <x v="1"/>
    <x v="2"/>
    <x v="3"/>
    <x v="3"/>
    <x v="65"/>
    <x v="1"/>
    <x v="1"/>
    <x v="0"/>
    <n v="28760"/>
  </r>
  <r>
    <m/>
    <x v="1"/>
    <x v="1"/>
    <x v="1"/>
    <x v="2"/>
    <x v="3"/>
    <x v="3"/>
    <x v="66"/>
    <x v="1"/>
    <x v="1"/>
    <x v="0"/>
    <n v="28760"/>
  </r>
  <r>
    <m/>
    <x v="1"/>
    <x v="1"/>
    <x v="1"/>
    <x v="2"/>
    <x v="3"/>
    <x v="3"/>
    <x v="67"/>
    <x v="1"/>
    <x v="1"/>
    <x v="0"/>
    <n v="28760"/>
  </r>
  <r>
    <m/>
    <x v="1"/>
    <x v="1"/>
    <x v="1"/>
    <x v="2"/>
    <x v="3"/>
    <x v="3"/>
    <x v="68"/>
    <x v="1"/>
    <x v="1"/>
    <x v="0"/>
    <n v="28760"/>
  </r>
  <r>
    <m/>
    <x v="1"/>
    <x v="1"/>
    <x v="1"/>
    <x v="2"/>
    <x v="3"/>
    <x v="3"/>
    <x v="69"/>
    <x v="1"/>
    <x v="1"/>
    <x v="0"/>
    <n v="28760"/>
  </r>
  <r>
    <m/>
    <x v="1"/>
    <x v="1"/>
    <x v="1"/>
    <x v="2"/>
    <x v="3"/>
    <x v="3"/>
    <x v="70"/>
    <x v="1"/>
    <x v="1"/>
    <x v="0"/>
    <n v="28760"/>
  </r>
  <r>
    <m/>
    <x v="1"/>
    <x v="1"/>
    <x v="1"/>
    <x v="2"/>
    <x v="3"/>
    <x v="3"/>
    <x v="71"/>
    <x v="1"/>
    <x v="1"/>
    <x v="0"/>
    <n v="28760"/>
  </r>
  <r>
    <m/>
    <x v="1"/>
    <x v="1"/>
    <x v="1"/>
    <x v="2"/>
    <x v="3"/>
    <x v="3"/>
    <x v="72"/>
    <x v="1"/>
    <x v="1"/>
    <x v="0"/>
    <n v="28760"/>
  </r>
  <r>
    <m/>
    <x v="1"/>
    <x v="1"/>
    <x v="1"/>
    <x v="2"/>
    <x v="3"/>
    <x v="3"/>
    <x v="73"/>
    <x v="1"/>
    <x v="1"/>
    <x v="0"/>
    <n v="28760"/>
  </r>
  <r>
    <m/>
    <x v="1"/>
    <x v="1"/>
    <x v="1"/>
    <x v="2"/>
    <x v="3"/>
    <x v="3"/>
    <x v="74"/>
    <x v="1"/>
    <x v="1"/>
    <x v="0"/>
    <n v="28760"/>
  </r>
  <r>
    <m/>
    <x v="1"/>
    <x v="1"/>
    <x v="1"/>
    <x v="2"/>
    <x v="3"/>
    <x v="3"/>
    <x v="75"/>
    <x v="1"/>
    <x v="1"/>
    <x v="0"/>
    <n v="28760"/>
  </r>
  <r>
    <m/>
    <x v="1"/>
    <x v="1"/>
    <x v="1"/>
    <x v="2"/>
    <x v="3"/>
    <x v="3"/>
    <x v="76"/>
    <x v="1"/>
    <x v="1"/>
    <x v="0"/>
    <n v="28760"/>
  </r>
  <r>
    <m/>
    <x v="1"/>
    <x v="1"/>
    <x v="1"/>
    <x v="2"/>
    <x v="3"/>
    <x v="3"/>
    <x v="77"/>
    <x v="1"/>
    <x v="1"/>
    <x v="0"/>
    <n v="28760"/>
  </r>
  <r>
    <m/>
    <x v="1"/>
    <x v="1"/>
    <x v="1"/>
    <x v="2"/>
    <x v="3"/>
    <x v="3"/>
    <x v="78"/>
    <x v="1"/>
    <x v="1"/>
    <x v="0"/>
    <n v="28760"/>
  </r>
  <r>
    <m/>
    <x v="1"/>
    <x v="1"/>
    <x v="1"/>
    <x v="2"/>
    <x v="3"/>
    <x v="3"/>
    <x v="79"/>
    <x v="1"/>
    <x v="1"/>
    <x v="0"/>
    <n v="28760"/>
  </r>
  <r>
    <m/>
    <x v="1"/>
    <x v="1"/>
    <x v="0"/>
    <x v="3"/>
    <x v="2"/>
    <x v="9"/>
    <x v="73"/>
    <x v="0"/>
    <x v="2"/>
    <x v="0"/>
    <n v="25020"/>
  </r>
  <r>
    <m/>
    <x v="1"/>
    <x v="1"/>
    <x v="1"/>
    <x v="1"/>
    <x v="4"/>
    <x v="6"/>
    <x v="94"/>
    <x v="1"/>
    <x v="2"/>
    <x v="0"/>
    <n v="17700"/>
  </r>
  <r>
    <m/>
    <x v="1"/>
    <x v="1"/>
    <x v="1"/>
    <x v="3"/>
    <x v="2"/>
    <x v="2"/>
    <x v="69"/>
    <x v="1"/>
    <x v="2"/>
    <x v="0"/>
    <n v="20860"/>
  </r>
  <r>
    <m/>
    <x v="1"/>
    <x v="1"/>
    <x v="1"/>
    <x v="2"/>
    <x v="3"/>
    <x v="9"/>
    <x v="3"/>
    <x v="1"/>
    <x v="1"/>
    <x v="0"/>
    <n v="31430"/>
  </r>
  <r>
    <m/>
    <x v="1"/>
    <x v="0"/>
    <x v="0"/>
    <x v="0"/>
    <x v="1"/>
    <x v="6"/>
    <x v="57"/>
    <x v="0"/>
    <x v="3"/>
    <x v="0"/>
    <n v="23690"/>
  </r>
  <r>
    <m/>
    <x v="1"/>
    <x v="0"/>
    <x v="0"/>
    <x v="2"/>
    <x v="2"/>
    <x v="5"/>
    <x v="50"/>
    <x v="0"/>
    <x v="3"/>
    <x v="0"/>
    <n v="29550"/>
  </r>
  <r>
    <m/>
    <x v="1"/>
    <x v="0"/>
    <x v="0"/>
    <x v="2"/>
    <x v="3"/>
    <x v="4"/>
    <x v="49"/>
    <x v="0"/>
    <x v="4"/>
    <x v="0"/>
    <n v="38730"/>
  </r>
  <r>
    <m/>
    <x v="1"/>
    <x v="0"/>
    <x v="1"/>
    <x v="3"/>
    <x v="2"/>
    <x v="8"/>
    <x v="46"/>
    <x v="1"/>
    <x v="3"/>
    <x v="0"/>
    <n v="38870"/>
  </r>
  <r>
    <m/>
    <x v="1"/>
    <x v="0"/>
    <x v="1"/>
    <x v="2"/>
    <x v="3"/>
    <x v="4"/>
    <x v="61"/>
    <x v="1"/>
    <x v="4"/>
    <x v="0"/>
    <n v="40630"/>
  </r>
  <r>
    <s v="CSKU00402_2EK"/>
    <x v="1"/>
    <x v="1"/>
    <x v="1"/>
    <x v="5"/>
    <x v="1"/>
    <x v="6"/>
    <x v="40"/>
    <x v="1"/>
    <x v="5"/>
    <x v="0"/>
    <n v="25300"/>
  </r>
  <r>
    <s v="CSKU00584_2EK"/>
    <x v="1"/>
    <x v="1"/>
    <x v="1"/>
    <x v="4"/>
    <x v="4"/>
    <x v="6"/>
    <x v="38"/>
    <x v="1"/>
    <x v="5"/>
    <x v="0"/>
    <n v="26180"/>
  </r>
  <r>
    <s v="CSKU00943_2EK"/>
    <x v="1"/>
    <x v="1"/>
    <x v="1"/>
    <x v="5"/>
    <x v="1"/>
    <x v="1"/>
    <x v="36"/>
    <x v="1"/>
    <x v="6"/>
    <x v="0"/>
    <n v="28760"/>
  </r>
  <r>
    <s v="CSKU01303_2EK"/>
    <x v="1"/>
    <x v="1"/>
    <x v="1"/>
    <x v="5"/>
    <x v="1"/>
    <x v="1"/>
    <x v="34"/>
    <x v="1"/>
    <x v="6"/>
    <x v="0"/>
    <n v="28760"/>
  </r>
  <r>
    <s v="CSKU01473_2EK"/>
    <x v="1"/>
    <x v="1"/>
    <x v="0"/>
    <x v="4"/>
    <x v="4"/>
    <x v="1"/>
    <x v="438"/>
    <x v="0"/>
    <x v="6"/>
    <x v="0"/>
    <n v="27450"/>
  </r>
  <r>
    <s v="CSKU01837_2EK"/>
    <x v="1"/>
    <x v="1"/>
    <x v="1"/>
    <x v="1"/>
    <x v="4"/>
    <x v="1"/>
    <x v="115"/>
    <x v="1"/>
    <x v="6"/>
    <x v="0"/>
    <n v="23140"/>
  </r>
  <r>
    <s v="CSKU02198_2EK"/>
    <x v="1"/>
    <x v="1"/>
    <x v="1"/>
    <x v="1"/>
    <x v="1"/>
    <x v="6"/>
    <x v="28"/>
    <x v="1"/>
    <x v="5"/>
    <x v="0"/>
    <n v="22570"/>
  </r>
  <r>
    <s v="CSKU03275_3EK"/>
    <x v="1"/>
    <x v="0"/>
    <x v="1"/>
    <x v="0"/>
    <x v="4"/>
    <x v="6"/>
    <x v="116"/>
    <x v="1"/>
    <x v="7"/>
    <x v="0"/>
    <n v="29050"/>
  </r>
  <r>
    <s v="CSKU03637_3EK"/>
    <x v="1"/>
    <x v="0"/>
    <x v="1"/>
    <x v="0"/>
    <x v="1"/>
    <x v="6"/>
    <x v="26"/>
    <x v="1"/>
    <x v="7"/>
    <x v="0"/>
    <n v="30900"/>
  </r>
  <r>
    <s v="CSKU04001_3EK"/>
    <x v="1"/>
    <x v="0"/>
    <x v="1"/>
    <x v="6"/>
    <x v="1"/>
    <x v="6"/>
    <x v="23"/>
    <x v="1"/>
    <x v="7"/>
    <x v="0"/>
    <n v="36160"/>
  </r>
  <r>
    <s v="CSKU04542_3EK"/>
    <x v="1"/>
    <x v="0"/>
    <x v="1"/>
    <x v="6"/>
    <x v="1"/>
    <x v="1"/>
    <x v="19"/>
    <x v="1"/>
    <x v="8"/>
    <x v="0"/>
    <n v="40630"/>
  </r>
  <r>
    <s v="CSKU05015_2ES"/>
    <x v="2"/>
    <x v="1"/>
    <x v="1"/>
    <x v="4"/>
    <x v="4"/>
    <x v="7"/>
    <x v="434"/>
    <x v="1"/>
    <x v="9"/>
    <x v="0"/>
    <n v="77020"/>
  </r>
  <r>
    <s v="CSKU05124_2ES"/>
    <x v="2"/>
    <x v="1"/>
    <x v="1"/>
    <x v="4"/>
    <x v="1"/>
    <x v="7"/>
    <x v="435"/>
    <x v="1"/>
    <x v="9"/>
    <x v="0"/>
    <n v="69520"/>
  </r>
  <r>
    <s v="CSKU05337_2ES"/>
    <x v="2"/>
    <x v="1"/>
    <x v="0"/>
    <x v="0"/>
    <x v="1"/>
    <x v="7"/>
    <x v="436"/>
    <x v="0"/>
    <x v="9"/>
    <x v="0"/>
    <n v="79570"/>
  </r>
  <r>
    <s v="CSKU05515_2ES"/>
    <x v="2"/>
    <x v="1"/>
    <x v="0"/>
    <x v="7"/>
    <x v="4"/>
    <x v="7"/>
    <x v="437"/>
    <x v="0"/>
    <x v="9"/>
    <x v="0"/>
    <n v="69560"/>
  </r>
  <r>
    <s v="CSKU05595_2ES"/>
    <x v="2"/>
    <x v="1"/>
    <x v="1"/>
    <x v="7"/>
    <x v="4"/>
    <x v="7"/>
    <x v="424"/>
    <x v="1"/>
    <x v="9"/>
    <x v="0"/>
    <n v="84960"/>
  </r>
  <r>
    <s v="CSKU05733_2ES"/>
    <x v="2"/>
    <x v="1"/>
    <x v="0"/>
    <x v="0"/>
    <x v="1"/>
    <x v="7"/>
    <x v="428"/>
    <x v="0"/>
    <x v="9"/>
    <x v="0"/>
    <n v="65970"/>
  </r>
  <r>
    <s v="CSKU05807_2ES"/>
    <x v="2"/>
    <x v="1"/>
    <x v="1"/>
    <x v="4"/>
    <x v="4"/>
    <x v="7"/>
    <x v="429"/>
    <x v="1"/>
    <x v="9"/>
    <x v="0"/>
    <n v="66080"/>
  </r>
  <r>
    <s v="CSKU05882_2ES"/>
    <x v="2"/>
    <x v="1"/>
    <x v="1"/>
    <x v="0"/>
    <x v="1"/>
    <x v="7"/>
    <x v="430"/>
    <x v="1"/>
    <x v="9"/>
    <x v="0"/>
    <n v="81840"/>
  </r>
  <r>
    <s v="CSKU05947_2ES"/>
    <x v="2"/>
    <x v="1"/>
    <x v="0"/>
    <x v="7"/>
    <x v="4"/>
    <x v="7"/>
    <x v="431"/>
    <x v="0"/>
    <x v="9"/>
    <x v="0"/>
    <n v="60960"/>
  </r>
  <r>
    <s v="CSKU06024_2ES"/>
    <x v="2"/>
    <x v="1"/>
    <x v="1"/>
    <x v="0"/>
    <x v="4"/>
    <x v="7"/>
    <x v="432"/>
    <x v="1"/>
    <x v="9"/>
    <x v="0"/>
    <n v="65360"/>
  </r>
  <r>
    <s v="CSKU06095_2ES"/>
    <x v="2"/>
    <x v="1"/>
    <x v="1"/>
    <x v="4"/>
    <x v="4"/>
    <x v="7"/>
    <x v="427"/>
    <x v="1"/>
    <x v="9"/>
    <x v="0"/>
    <n v="77020"/>
  </r>
  <r>
    <s v="CSKU06637_2ES"/>
    <x v="2"/>
    <x v="1"/>
    <x v="1"/>
    <x v="7"/>
    <x v="4"/>
    <x v="7"/>
    <x v="423"/>
    <x v="1"/>
    <x v="9"/>
    <x v="0"/>
    <n v="69340"/>
  </r>
  <r>
    <s v="CSKU06708_2ES"/>
    <x v="2"/>
    <x v="1"/>
    <x v="1"/>
    <x v="0"/>
    <x v="4"/>
    <x v="7"/>
    <x v="422"/>
    <x v="1"/>
    <x v="9"/>
    <x v="0"/>
    <n v="65360"/>
  </r>
  <r>
    <s v="CSKU07106_2ES"/>
    <x v="2"/>
    <x v="1"/>
    <x v="1"/>
    <x v="0"/>
    <x v="1"/>
    <x v="7"/>
    <x v="119"/>
    <x v="1"/>
    <x v="9"/>
    <x v="0"/>
    <n v="95440"/>
  </r>
  <r>
    <s v="CSKU07173_2ES"/>
    <x v="2"/>
    <x v="1"/>
    <x v="0"/>
    <x v="0"/>
    <x v="1"/>
    <x v="7"/>
    <x v="426"/>
    <x v="0"/>
    <x v="9"/>
    <x v="0"/>
    <n v="79570"/>
  </r>
  <r>
    <s v="CSKU07241_2ES"/>
    <x v="2"/>
    <x v="1"/>
    <x v="0"/>
    <x v="4"/>
    <x v="4"/>
    <x v="7"/>
    <x v="439"/>
    <x v="0"/>
    <x v="9"/>
    <x v="0"/>
    <n v="64800"/>
  </r>
  <r>
    <s v="CSKU07322_2ES"/>
    <x v="2"/>
    <x v="1"/>
    <x v="1"/>
    <x v="0"/>
    <x v="1"/>
    <x v="7"/>
    <x v="433"/>
    <x v="1"/>
    <x v="9"/>
    <x v="0"/>
    <n v="84460"/>
  </r>
  <r>
    <s v="CSKU07966_2ES"/>
    <x v="2"/>
    <x v="1"/>
    <x v="0"/>
    <x v="7"/>
    <x v="1"/>
    <x v="7"/>
    <x v="419"/>
    <x v="0"/>
    <x v="9"/>
    <x v="0"/>
    <n v="74580"/>
  </r>
  <r>
    <s v="CSKU08070_2ES"/>
    <x v="2"/>
    <x v="1"/>
    <x v="0"/>
    <x v="0"/>
    <x v="4"/>
    <x v="7"/>
    <x v="420"/>
    <x v="0"/>
    <x v="9"/>
    <x v="0"/>
    <n v="60670"/>
  </r>
  <r>
    <s v="CSKU08285_2ES"/>
    <x v="2"/>
    <x v="1"/>
    <x v="0"/>
    <x v="4"/>
    <x v="4"/>
    <x v="7"/>
    <x v="440"/>
    <x v="0"/>
    <x v="9"/>
    <x v="0"/>
    <n v="64800"/>
  </r>
  <r>
    <s v="CSKU08468_2ES"/>
    <x v="2"/>
    <x v="1"/>
    <x v="0"/>
    <x v="4"/>
    <x v="1"/>
    <x v="7"/>
    <x v="421"/>
    <x v="0"/>
    <x v="9"/>
    <x v="0"/>
    <n v="87020"/>
  </r>
  <r>
    <s v="CSKU08789_2ES"/>
    <x v="2"/>
    <x v="1"/>
    <x v="0"/>
    <x v="4"/>
    <x v="4"/>
    <x v="7"/>
    <x v="441"/>
    <x v="0"/>
    <x v="9"/>
    <x v="0"/>
    <n v="67930"/>
  </r>
  <r>
    <s v="CSKU09009_2ES"/>
    <x v="2"/>
    <x v="1"/>
    <x v="0"/>
    <x v="0"/>
    <x v="1"/>
    <x v="7"/>
    <x v="415"/>
    <x v="0"/>
    <x v="9"/>
    <x v="0"/>
    <n v="70150"/>
  </r>
  <r>
    <s v="CSKU09120_2ES"/>
    <x v="2"/>
    <x v="1"/>
    <x v="1"/>
    <x v="4"/>
    <x v="1"/>
    <x v="7"/>
    <x v="418"/>
    <x v="1"/>
    <x v="9"/>
    <x v="0"/>
    <n v="71080"/>
  </r>
  <r>
    <s v="CSKU09185_2ES"/>
    <x v="2"/>
    <x v="1"/>
    <x v="0"/>
    <x v="4"/>
    <x v="4"/>
    <x v="7"/>
    <x v="442"/>
    <x v="0"/>
    <x v="9"/>
    <x v="0"/>
    <n v="52690"/>
  </r>
  <r>
    <s v="CSKU09620_2ES"/>
    <x v="2"/>
    <x v="1"/>
    <x v="0"/>
    <x v="4"/>
    <x v="1"/>
    <x v="7"/>
    <x v="412"/>
    <x v="0"/>
    <x v="9"/>
    <x v="0"/>
    <n v="80220"/>
  </r>
  <r>
    <s v="CSKU09662_2ES"/>
    <x v="2"/>
    <x v="1"/>
    <x v="1"/>
    <x v="4"/>
    <x v="1"/>
    <x v="7"/>
    <x v="131"/>
    <x v="1"/>
    <x v="9"/>
    <x v="0"/>
    <n v="82040"/>
  </r>
  <r>
    <s v="CSKU09797_2ES"/>
    <x v="2"/>
    <x v="1"/>
    <x v="0"/>
    <x v="4"/>
    <x v="4"/>
    <x v="7"/>
    <x v="443"/>
    <x v="0"/>
    <x v="9"/>
    <x v="0"/>
    <n v="69100"/>
  </r>
  <r>
    <s v="CSKU09839_2ES"/>
    <x v="2"/>
    <x v="1"/>
    <x v="1"/>
    <x v="4"/>
    <x v="4"/>
    <x v="7"/>
    <x v="413"/>
    <x v="1"/>
    <x v="9"/>
    <x v="0"/>
    <n v="71550"/>
  </r>
  <r>
    <s v="CSKU09872_2ES"/>
    <x v="2"/>
    <x v="1"/>
    <x v="0"/>
    <x v="4"/>
    <x v="1"/>
    <x v="7"/>
    <x v="414"/>
    <x v="0"/>
    <x v="9"/>
    <x v="0"/>
    <n v="77260"/>
  </r>
  <r>
    <s v="CSKU09907_2ES"/>
    <x v="2"/>
    <x v="1"/>
    <x v="0"/>
    <x v="7"/>
    <x v="4"/>
    <x v="7"/>
    <x v="411"/>
    <x v="0"/>
    <x v="9"/>
    <x v="0"/>
    <n v="80500"/>
  </r>
  <r>
    <s v="CSKU09978_2ES"/>
    <x v="2"/>
    <x v="1"/>
    <x v="0"/>
    <x v="0"/>
    <x v="4"/>
    <x v="7"/>
    <x v="416"/>
    <x v="0"/>
    <x v="9"/>
    <x v="0"/>
    <n v="72630"/>
  </r>
  <r>
    <s v="CSKU10019_2ES"/>
    <x v="2"/>
    <x v="1"/>
    <x v="1"/>
    <x v="4"/>
    <x v="4"/>
    <x v="7"/>
    <x v="417"/>
    <x v="1"/>
    <x v="9"/>
    <x v="0"/>
    <n v="69210"/>
  </r>
  <r>
    <s v="CSKU10050_2ES"/>
    <x v="2"/>
    <x v="1"/>
    <x v="0"/>
    <x v="0"/>
    <x v="4"/>
    <x v="7"/>
    <x v="403"/>
    <x v="0"/>
    <x v="9"/>
    <x v="0"/>
    <n v="59730"/>
  </r>
  <r>
    <s v="CSKU10092_2ES"/>
    <x v="2"/>
    <x v="1"/>
    <x v="1"/>
    <x v="4"/>
    <x v="1"/>
    <x v="7"/>
    <x v="404"/>
    <x v="1"/>
    <x v="9"/>
    <x v="0"/>
    <n v="75010"/>
  </r>
  <r>
    <s v="CSKU10125_2ES"/>
    <x v="2"/>
    <x v="1"/>
    <x v="0"/>
    <x v="0"/>
    <x v="1"/>
    <x v="7"/>
    <x v="405"/>
    <x v="0"/>
    <x v="9"/>
    <x v="0"/>
    <n v="67280"/>
  </r>
  <r>
    <s v="CSKU10161_2ES"/>
    <x v="2"/>
    <x v="1"/>
    <x v="0"/>
    <x v="0"/>
    <x v="1"/>
    <x v="7"/>
    <x v="406"/>
    <x v="0"/>
    <x v="9"/>
    <x v="0"/>
    <n v="64320"/>
  </r>
  <r>
    <s v="CSKU10195_2ES"/>
    <x v="2"/>
    <x v="1"/>
    <x v="0"/>
    <x v="7"/>
    <x v="4"/>
    <x v="7"/>
    <x v="402"/>
    <x v="0"/>
    <x v="9"/>
    <x v="0"/>
    <n v="67600"/>
  </r>
  <r>
    <s v="CSKU10237_2ES"/>
    <x v="2"/>
    <x v="1"/>
    <x v="1"/>
    <x v="0"/>
    <x v="4"/>
    <x v="7"/>
    <x v="409"/>
    <x v="1"/>
    <x v="9"/>
    <x v="0"/>
    <n v="68080"/>
  </r>
  <r>
    <s v="CSKU10418_2ES"/>
    <x v="2"/>
    <x v="1"/>
    <x v="1"/>
    <x v="0"/>
    <x v="1"/>
    <x v="7"/>
    <x v="136"/>
    <x v="1"/>
    <x v="9"/>
    <x v="0"/>
    <n v="95440"/>
  </r>
  <r>
    <s v="CSKU10448_2ES"/>
    <x v="2"/>
    <x v="1"/>
    <x v="0"/>
    <x v="4"/>
    <x v="1"/>
    <x v="7"/>
    <x v="408"/>
    <x v="0"/>
    <x v="9"/>
    <x v="0"/>
    <n v="87020"/>
  </r>
  <r>
    <s v="CSKU10661_2ES"/>
    <x v="2"/>
    <x v="1"/>
    <x v="0"/>
    <x v="4"/>
    <x v="4"/>
    <x v="7"/>
    <x v="444"/>
    <x v="0"/>
    <x v="9"/>
    <x v="0"/>
    <n v="60500"/>
  </r>
  <r>
    <s v="CSKU10993_2ES"/>
    <x v="2"/>
    <x v="1"/>
    <x v="1"/>
    <x v="0"/>
    <x v="4"/>
    <x v="7"/>
    <x v="141"/>
    <x v="1"/>
    <x v="9"/>
    <x v="0"/>
    <n v="76680"/>
  </r>
  <r>
    <s v="CSKU11024_2ES"/>
    <x v="2"/>
    <x v="1"/>
    <x v="0"/>
    <x v="4"/>
    <x v="1"/>
    <x v="7"/>
    <x v="410"/>
    <x v="0"/>
    <x v="9"/>
    <x v="0"/>
    <n v="66620"/>
  </r>
  <r>
    <s v="CSKU11060_2ES"/>
    <x v="2"/>
    <x v="1"/>
    <x v="0"/>
    <x v="4"/>
    <x v="1"/>
    <x v="7"/>
    <x v="396"/>
    <x v="0"/>
    <x v="9"/>
    <x v="0"/>
    <n v="61130"/>
  </r>
  <r>
    <s v="CSKU11096_2ES"/>
    <x v="2"/>
    <x v="1"/>
    <x v="0"/>
    <x v="4"/>
    <x v="1"/>
    <x v="7"/>
    <x v="397"/>
    <x v="0"/>
    <x v="9"/>
    <x v="0"/>
    <n v="56860"/>
  </r>
  <r>
    <s v="CSKU11136_2ES"/>
    <x v="2"/>
    <x v="1"/>
    <x v="1"/>
    <x v="4"/>
    <x v="1"/>
    <x v="7"/>
    <x v="398"/>
    <x v="1"/>
    <x v="9"/>
    <x v="0"/>
    <n v="71080"/>
  </r>
  <r>
    <s v="CSKU11274_2ES"/>
    <x v="2"/>
    <x v="1"/>
    <x v="0"/>
    <x v="0"/>
    <x v="4"/>
    <x v="7"/>
    <x v="399"/>
    <x v="0"/>
    <x v="9"/>
    <x v="0"/>
    <n v="52540"/>
  </r>
  <r>
    <s v="CSKU11385_2ES"/>
    <x v="2"/>
    <x v="1"/>
    <x v="0"/>
    <x v="0"/>
    <x v="1"/>
    <x v="7"/>
    <x v="401"/>
    <x v="0"/>
    <x v="9"/>
    <x v="0"/>
    <n v="61270"/>
  </r>
  <r>
    <s v="CSKU11608_2ES"/>
    <x v="2"/>
    <x v="1"/>
    <x v="1"/>
    <x v="7"/>
    <x v="1"/>
    <x v="7"/>
    <x v="145"/>
    <x v="1"/>
    <x v="9"/>
    <x v="0"/>
    <n v="92620"/>
  </r>
  <r>
    <s v="CSKU11641_2ES"/>
    <x v="2"/>
    <x v="1"/>
    <x v="1"/>
    <x v="7"/>
    <x v="4"/>
    <x v="7"/>
    <x v="407"/>
    <x v="1"/>
    <x v="9"/>
    <x v="0"/>
    <n v="77150"/>
  </r>
  <r>
    <s v="CSKU11676_2ES"/>
    <x v="2"/>
    <x v="1"/>
    <x v="1"/>
    <x v="4"/>
    <x v="1"/>
    <x v="7"/>
    <x v="400"/>
    <x v="1"/>
    <x v="9"/>
    <x v="0"/>
    <n v="91480"/>
  </r>
  <r>
    <s v="CSKU11709_2ES"/>
    <x v="2"/>
    <x v="1"/>
    <x v="0"/>
    <x v="0"/>
    <x v="1"/>
    <x v="7"/>
    <x v="392"/>
    <x v="0"/>
    <x v="9"/>
    <x v="0"/>
    <n v="90550"/>
  </r>
  <r>
    <s v="CSKU11749_2ES"/>
    <x v="2"/>
    <x v="1"/>
    <x v="1"/>
    <x v="0"/>
    <x v="4"/>
    <x v="7"/>
    <x v="393"/>
    <x v="1"/>
    <x v="9"/>
    <x v="0"/>
    <n v="76680"/>
  </r>
  <r>
    <s v="CSKU11822_2ES"/>
    <x v="2"/>
    <x v="1"/>
    <x v="1"/>
    <x v="0"/>
    <x v="1"/>
    <x v="7"/>
    <x v="147"/>
    <x v="1"/>
    <x v="9"/>
    <x v="0"/>
    <n v="89950"/>
  </r>
  <r>
    <s v="CSKU12029_2ES"/>
    <x v="2"/>
    <x v="1"/>
    <x v="0"/>
    <x v="4"/>
    <x v="4"/>
    <x v="7"/>
    <x v="445"/>
    <x v="0"/>
    <x v="9"/>
    <x v="0"/>
    <n v="60500"/>
  </r>
  <r>
    <s v="CSKU12104_2ES"/>
    <x v="2"/>
    <x v="1"/>
    <x v="0"/>
    <x v="4"/>
    <x v="1"/>
    <x v="7"/>
    <x v="395"/>
    <x v="0"/>
    <x v="9"/>
    <x v="0"/>
    <n v="63750"/>
  </r>
  <r>
    <s v="CSKU12148_2ES"/>
    <x v="2"/>
    <x v="1"/>
    <x v="1"/>
    <x v="7"/>
    <x v="1"/>
    <x v="7"/>
    <x v="149"/>
    <x v="1"/>
    <x v="9"/>
    <x v="0"/>
    <n v="73510"/>
  </r>
  <r>
    <s v="CSKU12398_2ES"/>
    <x v="2"/>
    <x v="1"/>
    <x v="1"/>
    <x v="4"/>
    <x v="1"/>
    <x v="7"/>
    <x v="152"/>
    <x v="1"/>
    <x v="9"/>
    <x v="0"/>
    <n v="82040"/>
  </r>
  <r>
    <s v="CSKU12428_2ES"/>
    <x v="2"/>
    <x v="1"/>
    <x v="0"/>
    <x v="4"/>
    <x v="1"/>
    <x v="7"/>
    <x v="389"/>
    <x v="0"/>
    <x v="9"/>
    <x v="0"/>
    <n v="87020"/>
  </r>
  <r>
    <s v="CSKU12579_2ES"/>
    <x v="2"/>
    <x v="1"/>
    <x v="1"/>
    <x v="7"/>
    <x v="4"/>
    <x v="7"/>
    <x v="154"/>
    <x v="1"/>
    <x v="9"/>
    <x v="0"/>
    <n v="76360"/>
  </r>
  <r>
    <s v="CSKU12612_2ES"/>
    <x v="2"/>
    <x v="1"/>
    <x v="1"/>
    <x v="4"/>
    <x v="1"/>
    <x v="7"/>
    <x v="391"/>
    <x v="1"/>
    <x v="9"/>
    <x v="0"/>
    <n v="80500"/>
  </r>
  <r>
    <s v="CSKU12645_2ES"/>
    <x v="2"/>
    <x v="1"/>
    <x v="0"/>
    <x v="0"/>
    <x v="1"/>
    <x v="7"/>
    <x v="394"/>
    <x v="0"/>
    <x v="9"/>
    <x v="0"/>
    <n v="79570"/>
  </r>
  <r>
    <s v="CSKU12717_2ES"/>
    <x v="2"/>
    <x v="1"/>
    <x v="0"/>
    <x v="0"/>
    <x v="1"/>
    <x v="7"/>
    <x v="385"/>
    <x v="0"/>
    <x v="9"/>
    <x v="0"/>
    <n v="90550"/>
  </r>
  <r>
    <s v="CSKU12936_2ES"/>
    <x v="2"/>
    <x v="1"/>
    <x v="1"/>
    <x v="4"/>
    <x v="1"/>
    <x v="7"/>
    <x v="387"/>
    <x v="1"/>
    <x v="9"/>
    <x v="0"/>
    <n v="77880"/>
  </r>
  <r>
    <s v="CSKU13116_2ES"/>
    <x v="2"/>
    <x v="1"/>
    <x v="1"/>
    <x v="0"/>
    <x v="4"/>
    <x v="7"/>
    <x v="386"/>
    <x v="1"/>
    <x v="9"/>
    <x v="0"/>
    <n v="65360"/>
  </r>
  <r>
    <s v="CSKU13262_2ES"/>
    <x v="2"/>
    <x v="1"/>
    <x v="1"/>
    <x v="4"/>
    <x v="1"/>
    <x v="7"/>
    <x v="390"/>
    <x v="1"/>
    <x v="9"/>
    <x v="0"/>
    <n v="61620"/>
  </r>
  <r>
    <s v="CSKU13298_2ES"/>
    <x v="2"/>
    <x v="1"/>
    <x v="1"/>
    <x v="0"/>
    <x v="1"/>
    <x v="7"/>
    <x v="156"/>
    <x v="1"/>
    <x v="9"/>
    <x v="0"/>
    <n v="95440"/>
  </r>
  <r>
    <s v="CSKU13330_2ES"/>
    <x v="2"/>
    <x v="1"/>
    <x v="0"/>
    <x v="7"/>
    <x v="1"/>
    <x v="7"/>
    <x v="382"/>
    <x v="0"/>
    <x v="9"/>
    <x v="0"/>
    <n v="83120"/>
  </r>
  <r>
    <s v="CSKU13402_2ES"/>
    <x v="2"/>
    <x v="1"/>
    <x v="0"/>
    <x v="7"/>
    <x v="1"/>
    <x v="7"/>
    <x v="383"/>
    <x v="0"/>
    <x v="9"/>
    <x v="0"/>
    <n v="83120"/>
  </r>
  <r>
    <s v="CSKU13437_2ES"/>
    <x v="2"/>
    <x v="1"/>
    <x v="0"/>
    <x v="0"/>
    <x v="1"/>
    <x v="7"/>
    <x v="381"/>
    <x v="0"/>
    <x v="9"/>
    <x v="0"/>
    <n v="79570"/>
  </r>
  <r>
    <s v="CSKU13514_2ES"/>
    <x v="2"/>
    <x v="1"/>
    <x v="1"/>
    <x v="0"/>
    <x v="1"/>
    <x v="7"/>
    <x v="446"/>
    <x v="1"/>
    <x v="9"/>
    <x v="0"/>
    <n v="95440"/>
  </r>
  <r>
    <s v="CSKU13656_3ES"/>
    <x v="2"/>
    <x v="0"/>
    <x v="1"/>
    <x v="2"/>
    <x v="1"/>
    <x v="7"/>
    <x v="384"/>
    <x v="1"/>
    <x v="14"/>
    <x v="0"/>
    <n v="95380"/>
  </r>
  <r>
    <s v="CSKU13838_3ES"/>
    <x v="2"/>
    <x v="0"/>
    <x v="1"/>
    <x v="8"/>
    <x v="1"/>
    <x v="7"/>
    <x v="161"/>
    <x v="1"/>
    <x v="14"/>
    <x v="0"/>
    <n v="119750"/>
  </r>
  <r>
    <s v="CSKU13868_3ES"/>
    <x v="2"/>
    <x v="0"/>
    <x v="0"/>
    <x v="2"/>
    <x v="1"/>
    <x v="7"/>
    <x v="380"/>
    <x v="0"/>
    <x v="14"/>
    <x v="0"/>
    <n v="93130"/>
  </r>
  <r>
    <s v="CSKU14020_3ES"/>
    <x v="2"/>
    <x v="0"/>
    <x v="1"/>
    <x v="9"/>
    <x v="1"/>
    <x v="7"/>
    <x v="163"/>
    <x v="1"/>
    <x v="14"/>
    <x v="0"/>
    <n v="142180"/>
  </r>
  <r>
    <s v="CSKU14050_3ES"/>
    <x v="2"/>
    <x v="0"/>
    <x v="0"/>
    <x v="9"/>
    <x v="1"/>
    <x v="7"/>
    <x v="388"/>
    <x v="0"/>
    <x v="14"/>
    <x v="0"/>
    <n v="134940"/>
  </r>
  <r>
    <s v="CSKU14122_3ES"/>
    <x v="2"/>
    <x v="0"/>
    <x v="0"/>
    <x v="9"/>
    <x v="1"/>
    <x v="7"/>
    <x v="379"/>
    <x v="0"/>
    <x v="14"/>
    <x v="0"/>
    <n v="114540"/>
  </r>
  <r>
    <s v="CSKU14297_3ES"/>
    <x v="2"/>
    <x v="0"/>
    <x v="0"/>
    <x v="2"/>
    <x v="4"/>
    <x v="7"/>
    <x v="447"/>
    <x v="0"/>
    <x v="14"/>
    <x v="0"/>
    <n v="91010"/>
  </r>
  <r>
    <s v="CSKU14557_3ES"/>
    <x v="2"/>
    <x v="0"/>
    <x v="1"/>
    <x v="8"/>
    <x v="4"/>
    <x v="7"/>
    <x v="170"/>
    <x v="1"/>
    <x v="14"/>
    <x v="0"/>
    <n v="103610"/>
  </r>
  <r>
    <s v="CSKU14841_3ES"/>
    <x v="2"/>
    <x v="0"/>
    <x v="0"/>
    <x v="8"/>
    <x v="1"/>
    <x v="7"/>
    <x v="378"/>
    <x v="0"/>
    <x v="14"/>
    <x v="0"/>
    <n v="100350"/>
  </r>
  <r>
    <s v="CSKU15276_3ES"/>
    <x v="2"/>
    <x v="0"/>
    <x v="1"/>
    <x v="2"/>
    <x v="1"/>
    <x v="7"/>
    <x v="373"/>
    <x v="1"/>
    <x v="14"/>
    <x v="0"/>
    <n v="95380"/>
  </r>
  <r>
    <s v="CSKU15309_3ES"/>
    <x v="2"/>
    <x v="0"/>
    <x v="0"/>
    <x v="8"/>
    <x v="1"/>
    <x v="7"/>
    <x v="374"/>
    <x v="0"/>
    <x v="14"/>
    <x v="0"/>
    <n v="83880"/>
  </r>
  <r>
    <s v="CSKU15342_3ES"/>
    <x v="2"/>
    <x v="0"/>
    <x v="0"/>
    <x v="8"/>
    <x v="4"/>
    <x v="7"/>
    <x v="375"/>
    <x v="0"/>
    <x v="14"/>
    <x v="0"/>
    <n v="98080"/>
  </r>
  <r>
    <s v="CSKU15380_3ES"/>
    <x v="2"/>
    <x v="0"/>
    <x v="0"/>
    <x v="2"/>
    <x v="1"/>
    <x v="7"/>
    <x v="376"/>
    <x v="0"/>
    <x v="14"/>
    <x v="0"/>
    <n v="109600"/>
  </r>
  <r>
    <s v="CSKU15277_3ES"/>
    <x v="2"/>
    <x v="0"/>
    <x v="1"/>
    <x v="8"/>
    <x v="4"/>
    <x v="7"/>
    <x v="373"/>
    <x v="1"/>
    <x v="14"/>
    <x v="0"/>
    <n v="87200"/>
  </r>
  <r>
    <s v="CSKU15278_3ES"/>
    <x v="2"/>
    <x v="0"/>
    <x v="1"/>
    <x v="8"/>
    <x v="1"/>
    <x v="7"/>
    <x v="373"/>
    <x v="1"/>
    <x v="14"/>
    <x v="0"/>
    <n v="99350"/>
  </r>
  <r>
    <s v="CSKU15279_3ES"/>
    <x v="2"/>
    <x v="0"/>
    <x v="1"/>
    <x v="9"/>
    <x v="4"/>
    <x v="7"/>
    <x v="373"/>
    <x v="1"/>
    <x v="14"/>
    <x v="0"/>
    <n v="91170"/>
  </r>
  <r>
    <s v="CSKU15280_3ES"/>
    <x v="2"/>
    <x v="0"/>
    <x v="1"/>
    <x v="9"/>
    <x v="1"/>
    <x v="7"/>
    <x v="373"/>
    <x v="1"/>
    <x v="14"/>
    <x v="0"/>
    <n v="105310"/>
  </r>
  <r>
    <s v="CSKU15310_3ES"/>
    <x v="2"/>
    <x v="0"/>
    <x v="0"/>
    <x v="9"/>
    <x v="1"/>
    <x v="7"/>
    <x v="374"/>
    <x v="0"/>
    <x v="14"/>
    <x v="0"/>
    <n v="89190"/>
  </r>
  <r>
    <s v="CSKU15311_3ES"/>
    <x v="2"/>
    <x v="0"/>
    <x v="1"/>
    <x v="2"/>
    <x v="4"/>
    <x v="7"/>
    <x v="374"/>
    <x v="1"/>
    <x v="14"/>
    <x v="0"/>
    <n v="76200"/>
  </r>
  <r>
    <s v="CSKU15312_3ES"/>
    <x v="2"/>
    <x v="0"/>
    <x v="1"/>
    <x v="2"/>
    <x v="1"/>
    <x v="7"/>
    <x v="374"/>
    <x v="1"/>
    <x v="14"/>
    <x v="0"/>
    <n v="87460"/>
  </r>
  <r>
    <s v="CSKU15313_3ES"/>
    <x v="2"/>
    <x v="0"/>
    <x v="1"/>
    <x v="8"/>
    <x v="4"/>
    <x v="7"/>
    <x v="374"/>
    <x v="1"/>
    <x v="14"/>
    <x v="0"/>
    <n v="80180"/>
  </r>
  <r>
    <s v="CSKU15314_3ES"/>
    <x v="2"/>
    <x v="0"/>
    <x v="1"/>
    <x v="8"/>
    <x v="1"/>
    <x v="7"/>
    <x v="374"/>
    <x v="1"/>
    <x v="14"/>
    <x v="0"/>
    <n v="91430"/>
  </r>
  <r>
    <s v="CSKU15315_3ES"/>
    <x v="2"/>
    <x v="0"/>
    <x v="1"/>
    <x v="9"/>
    <x v="4"/>
    <x v="7"/>
    <x v="374"/>
    <x v="1"/>
    <x v="14"/>
    <x v="0"/>
    <n v="84150"/>
  </r>
  <r>
    <s v="CSKU15316_3ES"/>
    <x v="2"/>
    <x v="0"/>
    <x v="1"/>
    <x v="9"/>
    <x v="1"/>
    <x v="7"/>
    <x v="374"/>
    <x v="1"/>
    <x v="14"/>
    <x v="0"/>
    <n v="97390"/>
  </r>
  <r>
    <s v="CSKU15343_3ES"/>
    <x v="2"/>
    <x v="0"/>
    <x v="0"/>
    <x v="9"/>
    <x v="4"/>
    <x v="7"/>
    <x v="375"/>
    <x v="0"/>
    <x v="14"/>
    <x v="0"/>
    <n v="101620"/>
  </r>
  <r>
    <s v="CSKU15344_3ES"/>
    <x v="2"/>
    <x v="0"/>
    <x v="0"/>
    <x v="2"/>
    <x v="1"/>
    <x v="7"/>
    <x v="375"/>
    <x v="0"/>
    <x v="14"/>
    <x v="0"/>
    <n v="109600"/>
  </r>
  <r>
    <s v="CSKU15345_3ES"/>
    <x v="2"/>
    <x v="0"/>
    <x v="0"/>
    <x v="8"/>
    <x v="1"/>
    <x v="7"/>
    <x v="375"/>
    <x v="0"/>
    <x v="14"/>
    <x v="0"/>
    <n v="113160"/>
  </r>
  <r>
    <s v="CSKU15346_3ES"/>
    <x v="2"/>
    <x v="0"/>
    <x v="0"/>
    <x v="9"/>
    <x v="1"/>
    <x v="7"/>
    <x v="375"/>
    <x v="0"/>
    <x v="14"/>
    <x v="0"/>
    <n v="118470"/>
  </r>
  <r>
    <s v="CSKU15347_3ES"/>
    <x v="2"/>
    <x v="0"/>
    <x v="1"/>
    <x v="2"/>
    <x v="4"/>
    <x v="7"/>
    <x v="375"/>
    <x v="1"/>
    <x v="14"/>
    <x v="0"/>
    <n v="99630"/>
  </r>
  <r>
    <s v="CSKU15348_3ES"/>
    <x v="2"/>
    <x v="0"/>
    <x v="1"/>
    <x v="2"/>
    <x v="1"/>
    <x v="7"/>
    <x v="375"/>
    <x v="1"/>
    <x v="14"/>
    <x v="0"/>
    <n v="115780"/>
  </r>
  <r>
    <s v="CSKU15349_3ES"/>
    <x v="2"/>
    <x v="0"/>
    <x v="1"/>
    <x v="8"/>
    <x v="4"/>
    <x v="7"/>
    <x v="375"/>
    <x v="1"/>
    <x v="14"/>
    <x v="0"/>
    <n v="103610"/>
  </r>
  <r>
    <s v="CSKU15381_3ES"/>
    <x v="2"/>
    <x v="0"/>
    <x v="0"/>
    <x v="8"/>
    <x v="1"/>
    <x v="7"/>
    <x v="376"/>
    <x v="0"/>
    <x v="14"/>
    <x v="0"/>
    <n v="113160"/>
  </r>
  <r>
    <s v="CSKU15382_3ES"/>
    <x v="2"/>
    <x v="0"/>
    <x v="0"/>
    <x v="9"/>
    <x v="1"/>
    <x v="7"/>
    <x v="376"/>
    <x v="0"/>
    <x v="14"/>
    <x v="0"/>
    <n v="118470"/>
  </r>
  <r>
    <s v="CSKU15383_3ES"/>
    <x v="2"/>
    <x v="0"/>
    <x v="1"/>
    <x v="2"/>
    <x v="4"/>
    <x v="7"/>
    <x v="376"/>
    <x v="1"/>
    <x v="14"/>
    <x v="0"/>
    <n v="99630"/>
  </r>
  <r>
    <s v="CSKU15384_3ES"/>
    <x v="2"/>
    <x v="0"/>
    <x v="1"/>
    <x v="2"/>
    <x v="1"/>
    <x v="7"/>
    <x v="376"/>
    <x v="1"/>
    <x v="14"/>
    <x v="0"/>
    <n v="115780"/>
  </r>
  <r>
    <s v="CSKU15385_3ES"/>
    <x v="2"/>
    <x v="0"/>
    <x v="1"/>
    <x v="8"/>
    <x v="4"/>
    <x v="7"/>
    <x v="376"/>
    <x v="1"/>
    <x v="14"/>
    <x v="0"/>
    <n v="103610"/>
  </r>
  <r>
    <s v="CSKU15386_3ES"/>
    <x v="2"/>
    <x v="0"/>
    <x v="1"/>
    <x v="8"/>
    <x v="1"/>
    <x v="7"/>
    <x v="376"/>
    <x v="1"/>
    <x v="14"/>
    <x v="0"/>
    <n v="119750"/>
  </r>
  <r>
    <s v="CSKU15387_3ES"/>
    <x v="2"/>
    <x v="0"/>
    <x v="1"/>
    <x v="9"/>
    <x v="4"/>
    <x v="7"/>
    <x v="376"/>
    <x v="1"/>
    <x v="14"/>
    <x v="0"/>
    <n v="107580"/>
  </r>
  <r>
    <s v="CSKU15455_3ES"/>
    <x v="2"/>
    <x v="0"/>
    <x v="1"/>
    <x v="2"/>
    <x v="4"/>
    <x v="7"/>
    <x v="377"/>
    <x v="1"/>
    <x v="14"/>
    <x v="0"/>
    <n v="96120"/>
  </r>
  <r>
    <s v="CSKU15456_3ES"/>
    <x v="2"/>
    <x v="0"/>
    <x v="1"/>
    <x v="2"/>
    <x v="1"/>
    <x v="7"/>
    <x v="377"/>
    <x v="1"/>
    <x v="14"/>
    <x v="0"/>
    <n v="111850"/>
  </r>
  <r>
    <s v="CSKU15457_3ES"/>
    <x v="2"/>
    <x v="0"/>
    <x v="1"/>
    <x v="8"/>
    <x v="4"/>
    <x v="7"/>
    <x v="377"/>
    <x v="1"/>
    <x v="14"/>
    <x v="0"/>
    <n v="100100"/>
  </r>
  <r>
    <s v="CSKU15458_3ES"/>
    <x v="2"/>
    <x v="0"/>
    <x v="1"/>
    <x v="8"/>
    <x v="1"/>
    <x v="7"/>
    <x v="377"/>
    <x v="1"/>
    <x v="14"/>
    <x v="0"/>
    <n v="115820"/>
  </r>
  <r>
    <s v="CSKU15459_3ES"/>
    <x v="2"/>
    <x v="0"/>
    <x v="1"/>
    <x v="9"/>
    <x v="4"/>
    <x v="7"/>
    <x v="377"/>
    <x v="1"/>
    <x v="14"/>
    <x v="0"/>
    <n v="104070"/>
  </r>
  <r>
    <s v="CSKU15460_3ES"/>
    <x v="2"/>
    <x v="0"/>
    <x v="1"/>
    <x v="9"/>
    <x v="1"/>
    <x v="7"/>
    <x v="377"/>
    <x v="1"/>
    <x v="14"/>
    <x v="0"/>
    <n v="121780"/>
  </r>
  <r>
    <s v="CSKU15350_3ES"/>
    <x v="2"/>
    <x v="0"/>
    <x v="1"/>
    <x v="8"/>
    <x v="1"/>
    <x v="7"/>
    <x v="375"/>
    <x v="1"/>
    <x v="14"/>
    <x v="0"/>
    <n v="119750"/>
  </r>
  <r>
    <s v="CSKU15351_3ES"/>
    <x v="2"/>
    <x v="0"/>
    <x v="1"/>
    <x v="9"/>
    <x v="4"/>
    <x v="7"/>
    <x v="375"/>
    <x v="1"/>
    <x v="14"/>
    <x v="0"/>
    <n v="107580"/>
  </r>
  <r>
    <s v="CSKU15352_3ES"/>
    <x v="2"/>
    <x v="0"/>
    <x v="1"/>
    <x v="9"/>
    <x v="1"/>
    <x v="7"/>
    <x v="375"/>
    <x v="1"/>
    <x v="14"/>
    <x v="0"/>
    <n v="125710"/>
  </r>
  <r>
    <s v="CSKU15388_3ES"/>
    <x v="2"/>
    <x v="0"/>
    <x v="1"/>
    <x v="9"/>
    <x v="1"/>
    <x v="7"/>
    <x v="376"/>
    <x v="1"/>
    <x v="14"/>
    <x v="0"/>
    <n v="125710"/>
  </r>
  <r>
    <s v="CSKU15053_3ES"/>
    <x v="2"/>
    <x v="0"/>
    <x v="0"/>
    <x v="2"/>
    <x v="4"/>
    <x v="7"/>
    <x v="448"/>
    <x v="0"/>
    <x v="14"/>
    <x v="0"/>
    <n v="83030"/>
  </r>
  <r>
    <s v="CSKU15089_3ES"/>
    <x v="2"/>
    <x v="0"/>
    <x v="0"/>
    <x v="2"/>
    <x v="4"/>
    <x v="7"/>
    <x v="449"/>
    <x v="0"/>
    <x v="14"/>
    <x v="0"/>
    <n v="107420"/>
  </r>
  <r>
    <s v="CSKU15090_3ES"/>
    <x v="2"/>
    <x v="0"/>
    <x v="0"/>
    <x v="8"/>
    <x v="4"/>
    <x v="7"/>
    <x v="449"/>
    <x v="0"/>
    <x v="14"/>
    <x v="0"/>
    <n v="110980"/>
  </r>
  <r>
    <s v="CSKU15091_3ES"/>
    <x v="2"/>
    <x v="0"/>
    <x v="0"/>
    <x v="9"/>
    <x v="4"/>
    <x v="7"/>
    <x v="449"/>
    <x v="0"/>
    <x v="14"/>
    <x v="0"/>
    <n v="114520"/>
  </r>
  <r>
    <s v="CSKU15092_3ES"/>
    <x v="2"/>
    <x v="0"/>
    <x v="0"/>
    <x v="2"/>
    <x v="1"/>
    <x v="7"/>
    <x v="449"/>
    <x v="0"/>
    <x v="14"/>
    <x v="0"/>
    <n v="126070"/>
  </r>
  <r>
    <s v="CSKU15093_3ES"/>
    <x v="2"/>
    <x v="0"/>
    <x v="0"/>
    <x v="8"/>
    <x v="1"/>
    <x v="7"/>
    <x v="449"/>
    <x v="0"/>
    <x v="14"/>
    <x v="0"/>
    <n v="129630"/>
  </r>
  <r>
    <s v="CSKU15163_3ES"/>
    <x v="2"/>
    <x v="0"/>
    <x v="0"/>
    <x v="9"/>
    <x v="4"/>
    <x v="7"/>
    <x v="172"/>
    <x v="0"/>
    <x v="14"/>
    <x v="0"/>
    <n v="114520"/>
  </r>
  <r>
    <s v="CSKU15164_3ES"/>
    <x v="2"/>
    <x v="0"/>
    <x v="0"/>
    <x v="2"/>
    <x v="1"/>
    <x v="7"/>
    <x v="172"/>
    <x v="0"/>
    <x v="14"/>
    <x v="0"/>
    <n v="126070"/>
  </r>
  <r>
    <s v="CSKU15165_3ES"/>
    <x v="2"/>
    <x v="0"/>
    <x v="0"/>
    <x v="8"/>
    <x v="1"/>
    <x v="7"/>
    <x v="172"/>
    <x v="0"/>
    <x v="14"/>
    <x v="0"/>
    <n v="129630"/>
  </r>
  <r>
    <s v="CSKU15166_3ES"/>
    <x v="2"/>
    <x v="0"/>
    <x v="0"/>
    <x v="9"/>
    <x v="1"/>
    <x v="7"/>
    <x v="172"/>
    <x v="0"/>
    <x v="14"/>
    <x v="0"/>
    <n v="134940"/>
  </r>
  <r>
    <s v="CSKU15167_3ES"/>
    <x v="2"/>
    <x v="0"/>
    <x v="1"/>
    <x v="2"/>
    <x v="4"/>
    <x v="7"/>
    <x v="172"/>
    <x v="1"/>
    <x v="14"/>
    <x v="0"/>
    <n v="112530"/>
  </r>
  <r>
    <s v="CSKU15168_3ES"/>
    <x v="2"/>
    <x v="0"/>
    <x v="1"/>
    <x v="2"/>
    <x v="1"/>
    <x v="7"/>
    <x v="172"/>
    <x v="1"/>
    <x v="14"/>
    <x v="0"/>
    <n v="132250"/>
  </r>
  <r>
    <s v="CSKU15201_3ES"/>
    <x v="2"/>
    <x v="0"/>
    <x v="0"/>
    <x v="8"/>
    <x v="1"/>
    <x v="7"/>
    <x v="173"/>
    <x v="0"/>
    <x v="14"/>
    <x v="0"/>
    <n v="113160"/>
  </r>
  <r>
    <s v="CSKU15202_3ES"/>
    <x v="2"/>
    <x v="0"/>
    <x v="0"/>
    <x v="9"/>
    <x v="1"/>
    <x v="7"/>
    <x v="173"/>
    <x v="0"/>
    <x v="14"/>
    <x v="0"/>
    <n v="118470"/>
  </r>
  <r>
    <s v="CSKU15203_3ES"/>
    <x v="2"/>
    <x v="0"/>
    <x v="1"/>
    <x v="2"/>
    <x v="4"/>
    <x v="7"/>
    <x v="173"/>
    <x v="1"/>
    <x v="14"/>
    <x v="0"/>
    <n v="99630"/>
  </r>
  <r>
    <s v="CSKU15204_3ES"/>
    <x v="2"/>
    <x v="0"/>
    <x v="1"/>
    <x v="2"/>
    <x v="1"/>
    <x v="7"/>
    <x v="173"/>
    <x v="1"/>
    <x v="14"/>
    <x v="0"/>
    <n v="115780"/>
  </r>
  <r>
    <s v="CSKU15205_3ES"/>
    <x v="2"/>
    <x v="0"/>
    <x v="1"/>
    <x v="8"/>
    <x v="4"/>
    <x v="7"/>
    <x v="173"/>
    <x v="1"/>
    <x v="14"/>
    <x v="0"/>
    <n v="103610"/>
  </r>
  <r>
    <s v="CSKU15206_3ES"/>
    <x v="2"/>
    <x v="0"/>
    <x v="1"/>
    <x v="8"/>
    <x v="1"/>
    <x v="7"/>
    <x v="173"/>
    <x v="1"/>
    <x v="14"/>
    <x v="0"/>
    <n v="119750"/>
  </r>
  <r>
    <s v="CSKU15485_3ES"/>
    <x v="2"/>
    <x v="0"/>
    <x v="0"/>
    <x v="2"/>
    <x v="4"/>
    <x v="7"/>
    <x v="175"/>
    <x v="0"/>
    <x v="14"/>
    <x v="0"/>
    <n v="83030"/>
  </r>
  <r>
    <s v="CSKU15486_3ES"/>
    <x v="2"/>
    <x v="0"/>
    <x v="0"/>
    <x v="8"/>
    <x v="4"/>
    <x v="7"/>
    <x v="175"/>
    <x v="0"/>
    <x v="14"/>
    <x v="0"/>
    <n v="86590"/>
  </r>
  <r>
    <s v="CSKU15487_3ES"/>
    <x v="2"/>
    <x v="0"/>
    <x v="0"/>
    <x v="9"/>
    <x v="4"/>
    <x v="7"/>
    <x v="175"/>
    <x v="0"/>
    <x v="14"/>
    <x v="0"/>
    <n v="90130"/>
  </r>
  <r>
    <s v="CSKU15488_3ES"/>
    <x v="2"/>
    <x v="0"/>
    <x v="0"/>
    <x v="2"/>
    <x v="1"/>
    <x v="7"/>
    <x v="175"/>
    <x v="0"/>
    <x v="14"/>
    <x v="0"/>
    <n v="96790"/>
  </r>
  <r>
    <s v="CSKU15489_3ES"/>
    <x v="2"/>
    <x v="0"/>
    <x v="0"/>
    <x v="8"/>
    <x v="1"/>
    <x v="7"/>
    <x v="175"/>
    <x v="0"/>
    <x v="14"/>
    <x v="0"/>
    <n v="100350"/>
  </r>
  <r>
    <s v="CSKU15054_3ES"/>
    <x v="2"/>
    <x v="0"/>
    <x v="0"/>
    <x v="8"/>
    <x v="4"/>
    <x v="7"/>
    <x v="448"/>
    <x v="0"/>
    <x v="14"/>
    <x v="0"/>
    <n v="86590"/>
  </r>
  <r>
    <s v="CSKU15055_3ES"/>
    <x v="2"/>
    <x v="0"/>
    <x v="0"/>
    <x v="9"/>
    <x v="4"/>
    <x v="7"/>
    <x v="448"/>
    <x v="0"/>
    <x v="14"/>
    <x v="0"/>
    <n v="90130"/>
  </r>
  <r>
    <s v="CSKU15056_3ES"/>
    <x v="2"/>
    <x v="0"/>
    <x v="0"/>
    <x v="2"/>
    <x v="1"/>
    <x v="7"/>
    <x v="448"/>
    <x v="0"/>
    <x v="14"/>
    <x v="0"/>
    <n v="96790"/>
  </r>
  <r>
    <s v="CSKU15057_3ES"/>
    <x v="2"/>
    <x v="0"/>
    <x v="0"/>
    <x v="8"/>
    <x v="1"/>
    <x v="7"/>
    <x v="448"/>
    <x v="0"/>
    <x v="14"/>
    <x v="0"/>
    <n v="100350"/>
  </r>
  <r>
    <s v="CSKU15058_3ES"/>
    <x v="2"/>
    <x v="0"/>
    <x v="0"/>
    <x v="9"/>
    <x v="1"/>
    <x v="7"/>
    <x v="448"/>
    <x v="0"/>
    <x v="14"/>
    <x v="0"/>
    <n v="105660"/>
  </r>
  <r>
    <s v="CSKU15059_3ES"/>
    <x v="2"/>
    <x v="0"/>
    <x v="1"/>
    <x v="2"/>
    <x v="4"/>
    <x v="7"/>
    <x v="448"/>
    <x v="1"/>
    <x v="14"/>
    <x v="0"/>
    <n v="89100"/>
  </r>
  <r>
    <s v="CSKU15060_3ES"/>
    <x v="2"/>
    <x v="0"/>
    <x v="1"/>
    <x v="2"/>
    <x v="1"/>
    <x v="7"/>
    <x v="448"/>
    <x v="1"/>
    <x v="14"/>
    <x v="0"/>
    <n v="103930"/>
  </r>
  <r>
    <s v="CSKU15061_3ES"/>
    <x v="2"/>
    <x v="0"/>
    <x v="1"/>
    <x v="8"/>
    <x v="4"/>
    <x v="7"/>
    <x v="448"/>
    <x v="1"/>
    <x v="14"/>
    <x v="0"/>
    <n v="93080"/>
  </r>
  <r>
    <s v="CSKU15062_3ES"/>
    <x v="2"/>
    <x v="0"/>
    <x v="1"/>
    <x v="8"/>
    <x v="1"/>
    <x v="7"/>
    <x v="448"/>
    <x v="1"/>
    <x v="14"/>
    <x v="0"/>
    <n v="107900"/>
  </r>
  <r>
    <s v="CSKU14981_3ES"/>
    <x v="2"/>
    <x v="0"/>
    <x v="0"/>
    <x v="2"/>
    <x v="4"/>
    <x v="7"/>
    <x v="450"/>
    <x v="0"/>
    <x v="14"/>
    <x v="0"/>
    <n v="83030"/>
  </r>
  <r>
    <s v="CSKU14982_3ES"/>
    <x v="2"/>
    <x v="0"/>
    <x v="0"/>
    <x v="8"/>
    <x v="4"/>
    <x v="7"/>
    <x v="450"/>
    <x v="0"/>
    <x v="14"/>
    <x v="0"/>
    <n v="86590"/>
  </r>
  <r>
    <s v="CSKU14983_3ES"/>
    <x v="2"/>
    <x v="0"/>
    <x v="0"/>
    <x v="9"/>
    <x v="4"/>
    <x v="7"/>
    <x v="450"/>
    <x v="0"/>
    <x v="14"/>
    <x v="0"/>
    <n v="90130"/>
  </r>
  <r>
    <s v="CSKU14984_3ES"/>
    <x v="2"/>
    <x v="0"/>
    <x v="0"/>
    <x v="2"/>
    <x v="1"/>
    <x v="7"/>
    <x v="450"/>
    <x v="0"/>
    <x v="14"/>
    <x v="0"/>
    <n v="96790"/>
  </r>
  <r>
    <s v="CSKU15094_3ES"/>
    <x v="2"/>
    <x v="0"/>
    <x v="0"/>
    <x v="9"/>
    <x v="1"/>
    <x v="7"/>
    <x v="449"/>
    <x v="0"/>
    <x v="14"/>
    <x v="0"/>
    <n v="134940"/>
  </r>
  <r>
    <s v="CSKU15095_3ES"/>
    <x v="2"/>
    <x v="0"/>
    <x v="1"/>
    <x v="2"/>
    <x v="4"/>
    <x v="7"/>
    <x v="449"/>
    <x v="1"/>
    <x v="14"/>
    <x v="0"/>
    <n v="112530"/>
  </r>
  <r>
    <s v="CSKU15096_3ES"/>
    <x v="2"/>
    <x v="0"/>
    <x v="1"/>
    <x v="2"/>
    <x v="1"/>
    <x v="7"/>
    <x v="449"/>
    <x v="1"/>
    <x v="14"/>
    <x v="0"/>
    <n v="132250"/>
  </r>
  <r>
    <s v="CSKU15097_3ES"/>
    <x v="2"/>
    <x v="0"/>
    <x v="1"/>
    <x v="8"/>
    <x v="4"/>
    <x v="7"/>
    <x v="449"/>
    <x v="1"/>
    <x v="14"/>
    <x v="0"/>
    <n v="116510"/>
  </r>
  <r>
    <s v="CSKU15098_3ES"/>
    <x v="2"/>
    <x v="0"/>
    <x v="1"/>
    <x v="8"/>
    <x v="1"/>
    <x v="7"/>
    <x v="449"/>
    <x v="1"/>
    <x v="14"/>
    <x v="0"/>
    <n v="136220"/>
  </r>
  <r>
    <s v="CSKU15099_3ES"/>
    <x v="2"/>
    <x v="0"/>
    <x v="1"/>
    <x v="9"/>
    <x v="4"/>
    <x v="7"/>
    <x v="449"/>
    <x v="1"/>
    <x v="14"/>
    <x v="0"/>
    <n v="120480"/>
  </r>
  <r>
    <s v="CSKU15100_3ES"/>
    <x v="2"/>
    <x v="0"/>
    <x v="1"/>
    <x v="9"/>
    <x v="1"/>
    <x v="7"/>
    <x v="449"/>
    <x v="1"/>
    <x v="14"/>
    <x v="0"/>
    <n v="142180"/>
  </r>
  <r>
    <s v="CSKU15233_3ES"/>
    <x v="2"/>
    <x v="0"/>
    <x v="0"/>
    <x v="2"/>
    <x v="4"/>
    <x v="7"/>
    <x v="174"/>
    <x v="0"/>
    <x v="14"/>
    <x v="0"/>
    <n v="94520"/>
  </r>
  <r>
    <s v="CSKU15234_3ES"/>
    <x v="2"/>
    <x v="0"/>
    <x v="0"/>
    <x v="8"/>
    <x v="4"/>
    <x v="7"/>
    <x v="174"/>
    <x v="0"/>
    <x v="14"/>
    <x v="0"/>
    <n v="98080"/>
  </r>
  <r>
    <s v="CSKU15235_3ES"/>
    <x v="2"/>
    <x v="0"/>
    <x v="0"/>
    <x v="9"/>
    <x v="4"/>
    <x v="7"/>
    <x v="174"/>
    <x v="0"/>
    <x v="14"/>
    <x v="0"/>
    <n v="101620"/>
  </r>
  <r>
    <s v="CSKU15236_3ES"/>
    <x v="2"/>
    <x v="0"/>
    <x v="0"/>
    <x v="2"/>
    <x v="1"/>
    <x v="7"/>
    <x v="174"/>
    <x v="0"/>
    <x v="14"/>
    <x v="0"/>
    <n v="109600"/>
  </r>
  <r>
    <s v="CSKU15125_3ES"/>
    <x v="2"/>
    <x v="0"/>
    <x v="0"/>
    <x v="2"/>
    <x v="4"/>
    <x v="7"/>
    <x v="451"/>
    <x v="0"/>
    <x v="14"/>
    <x v="0"/>
    <n v="83030"/>
  </r>
  <r>
    <s v="CSKU15126_3ES"/>
    <x v="2"/>
    <x v="0"/>
    <x v="0"/>
    <x v="8"/>
    <x v="4"/>
    <x v="7"/>
    <x v="451"/>
    <x v="0"/>
    <x v="14"/>
    <x v="0"/>
    <n v="86590"/>
  </r>
  <r>
    <s v="CSKU15127_3ES"/>
    <x v="2"/>
    <x v="0"/>
    <x v="0"/>
    <x v="9"/>
    <x v="4"/>
    <x v="7"/>
    <x v="451"/>
    <x v="0"/>
    <x v="14"/>
    <x v="0"/>
    <n v="90130"/>
  </r>
  <r>
    <s v="CSKU15128_3ES"/>
    <x v="2"/>
    <x v="0"/>
    <x v="0"/>
    <x v="2"/>
    <x v="1"/>
    <x v="7"/>
    <x v="451"/>
    <x v="0"/>
    <x v="14"/>
    <x v="0"/>
    <n v="96790"/>
  </r>
  <r>
    <s v="CSKU15129_3ES"/>
    <x v="2"/>
    <x v="0"/>
    <x v="0"/>
    <x v="8"/>
    <x v="1"/>
    <x v="7"/>
    <x v="451"/>
    <x v="0"/>
    <x v="14"/>
    <x v="0"/>
    <n v="100350"/>
  </r>
  <r>
    <s v="CSKU15130_3ES"/>
    <x v="2"/>
    <x v="0"/>
    <x v="0"/>
    <x v="9"/>
    <x v="1"/>
    <x v="7"/>
    <x v="451"/>
    <x v="0"/>
    <x v="14"/>
    <x v="0"/>
    <n v="105660"/>
  </r>
  <r>
    <s v="CSKU15131_3ES"/>
    <x v="2"/>
    <x v="0"/>
    <x v="1"/>
    <x v="2"/>
    <x v="4"/>
    <x v="7"/>
    <x v="451"/>
    <x v="1"/>
    <x v="14"/>
    <x v="0"/>
    <n v="89100"/>
  </r>
  <r>
    <s v="CSKU15132_3ES"/>
    <x v="2"/>
    <x v="0"/>
    <x v="1"/>
    <x v="2"/>
    <x v="1"/>
    <x v="7"/>
    <x v="451"/>
    <x v="1"/>
    <x v="14"/>
    <x v="0"/>
    <n v="103930"/>
  </r>
  <r>
    <s v="CSKU14945_3ES"/>
    <x v="2"/>
    <x v="0"/>
    <x v="0"/>
    <x v="2"/>
    <x v="4"/>
    <x v="7"/>
    <x v="452"/>
    <x v="0"/>
    <x v="14"/>
    <x v="0"/>
    <n v="91010"/>
  </r>
  <r>
    <s v="CSKU14946_3ES"/>
    <x v="2"/>
    <x v="0"/>
    <x v="0"/>
    <x v="8"/>
    <x v="4"/>
    <x v="7"/>
    <x v="452"/>
    <x v="0"/>
    <x v="14"/>
    <x v="0"/>
    <n v="94570"/>
  </r>
  <r>
    <s v="CSKU14947_3ES"/>
    <x v="2"/>
    <x v="0"/>
    <x v="0"/>
    <x v="9"/>
    <x v="4"/>
    <x v="7"/>
    <x v="452"/>
    <x v="0"/>
    <x v="14"/>
    <x v="0"/>
    <n v="98110"/>
  </r>
  <r>
    <s v="CSKU14948_3ES"/>
    <x v="2"/>
    <x v="0"/>
    <x v="0"/>
    <x v="2"/>
    <x v="1"/>
    <x v="7"/>
    <x v="452"/>
    <x v="0"/>
    <x v="14"/>
    <x v="0"/>
    <n v="105670"/>
  </r>
  <r>
    <s v="CSKU14949_3ES"/>
    <x v="2"/>
    <x v="0"/>
    <x v="0"/>
    <x v="8"/>
    <x v="1"/>
    <x v="7"/>
    <x v="452"/>
    <x v="0"/>
    <x v="14"/>
    <x v="0"/>
    <n v="109230"/>
  </r>
  <r>
    <s v="CSKU14950_3ES"/>
    <x v="2"/>
    <x v="0"/>
    <x v="0"/>
    <x v="9"/>
    <x v="1"/>
    <x v="7"/>
    <x v="452"/>
    <x v="0"/>
    <x v="14"/>
    <x v="0"/>
    <n v="114540"/>
  </r>
  <r>
    <s v="CSKU14951_3ES"/>
    <x v="2"/>
    <x v="0"/>
    <x v="1"/>
    <x v="2"/>
    <x v="4"/>
    <x v="7"/>
    <x v="452"/>
    <x v="1"/>
    <x v="14"/>
    <x v="0"/>
    <n v="96120"/>
  </r>
  <r>
    <s v="CSKU14985_3ES"/>
    <x v="2"/>
    <x v="0"/>
    <x v="0"/>
    <x v="8"/>
    <x v="1"/>
    <x v="7"/>
    <x v="450"/>
    <x v="0"/>
    <x v="14"/>
    <x v="0"/>
    <n v="100350"/>
  </r>
  <r>
    <s v="CSKU14986_3ES"/>
    <x v="2"/>
    <x v="0"/>
    <x v="0"/>
    <x v="9"/>
    <x v="1"/>
    <x v="7"/>
    <x v="450"/>
    <x v="0"/>
    <x v="14"/>
    <x v="0"/>
    <n v="105660"/>
  </r>
  <r>
    <s v="CSKU14987_3ES"/>
    <x v="2"/>
    <x v="0"/>
    <x v="1"/>
    <x v="2"/>
    <x v="4"/>
    <x v="7"/>
    <x v="450"/>
    <x v="1"/>
    <x v="14"/>
    <x v="0"/>
    <n v="89100"/>
  </r>
  <r>
    <s v="CSKU14988_3ES"/>
    <x v="2"/>
    <x v="0"/>
    <x v="1"/>
    <x v="2"/>
    <x v="1"/>
    <x v="7"/>
    <x v="450"/>
    <x v="1"/>
    <x v="14"/>
    <x v="0"/>
    <n v="103930"/>
  </r>
  <r>
    <s v="CSKU14989_3ES"/>
    <x v="2"/>
    <x v="0"/>
    <x v="1"/>
    <x v="8"/>
    <x v="4"/>
    <x v="7"/>
    <x v="450"/>
    <x v="1"/>
    <x v="14"/>
    <x v="0"/>
    <n v="93080"/>
  </r>
  <r>
    <s v="CSKU14990_3ES"/>
    <x v="2"/>
    <x v="0"/>
    <x v="1"/>
    <x v="8"/>
    <x v="1"/>
    <x v="7"/>
    <x v="450"/>
    <x v="1"/>
    <x v="14"/>
    <x v="0"/>
    <n v="107900"/>
  </r>
  <r>
    <s v="CSKU14991_3ES"/>
    <x v="2"/>
    <x v="0"/>
    <x v="1"/>
    <x v="9"/>
    <x v="4"/>
    <x v="7"/>
    <x v="450"/>
    <x v="1"/>
    <x v="14"/>
    <x v="0"/>
    <n v="97050"/>
  </r>
  <r>
    <s v="CSKU14992_3ES"/>
    <x v="2"/>
    <x v="0"/>
    <x v="1"/>
    <x v="9"/>
    <x v="1"/>
    <x v="7"/>
    <x v="450"/>
    <x v="1"/>
    <x v="14"/>
    <x v="0"/>
    <n v="113860"/>
  </r>
  <r>
    <s v="CSKU15017_3ES"/>
    <x v="2"/>
    <x v="0"/>
    <x v="0"/>
    <x v="2"/>
    <x v="4"/>
    <x v="7"/>
    <x v="453"/>
    <x v="0"/>
    <x v="14"/>
    <x v="0"/>
    <n v="107420"/>
  </r>
  <r>
    <s v="CSKU15018_3ES"/>
    <x v="2"/>
    <x v="0"/>
    <x v="0"/>
    <x v="8"/>
    <x v="4"/>
    <x v="7"/>
    <x v="453"/>
    <x v="0"/>
    <x v="14"/>
    <x v="0"/>
    <n v="110980"/>
  </r>
  <r>
    <s v="CSKU15019_3ES"/>
    <x v="2"/>
    <x v="0"/>
    <x v="0"/>
    <x v="9"/>
    <x v="4"/>
    <x v="7"/>
    <x v="453"/>
    <x v="0"/>
    <x v="14"/>
    <x v="0"/>
    <n v="114520"/>
  </r>
  <r>
    <s v="CSKU15020_3ES"/>
    <x v="2"/>
    <x v="0"/>
    <x v="0"/>
    <x v="2"/>
    <x v="1"/>
    <x v="7"/>
    <x v="453"/>
    <x v="0"/>
    <x v="14"/>
    <x v="0"/>
    <n v="126070"/>
  </r>
  <r>
    <s v="CSKU15021_3ES"/>
    <x v="2"/>
    <x v="0"/>
    <x v="0"/>
    <x v="8"/>
    <x v="1"/>
    <x v="7"/>
    <x v="453"/>
    <x v="0"/>
    <x v="14"/>
    <x v="0"/>
    <n v="129630"/>
  </r>
  <r>
    <s v="CSKU15022_3ES"/>
    <x v="2"/>
    <x v="0"/>
    <x v="0"/>
    <x v="9"/>
    <x v="1"/>
    <x v="7"/>
    <x v="453"/>
    <x v="0"/>
    <x v="14"/>
    <x v="0"/>
    <n v="134940"/>
  </r>
  <r>
    <s v="CSKU15023_3ES"/>
    <x v="2"/>
    <x v="0"/>
    <x v="1"/>
    <x v="2"/>
    <x v="4"/>
    <x v="7"/>
    <x v="453"/>
    <x v="1"/>
    <x v="14"/>
    <x v="0"/>
    <n v="112530"/>
  </r>
  <r>
    <s v="CSKU14801_3ES"/>
    <x v="2"/>
    <x v="0"/>
    <x v="0"/>
    <x v="2"/>
    <x v="4"/>
    <x v="7"/>
    <x v="454"/>
    <x v="0"/>
    <x v="14"/>
    <x v="0"/>
    <n v="83030"/>
  </r>
  <r>
    <s v="CSKU14802_3ES"/>
    <x v="2"/>
    <x v="0"/>
    <x v="0"/>
    <x v="8"/>
    <x v="4"/>
    <x v="7"/>
    <x v="454"/>
    <x v="0"/>
    <x v="14"/>
    <x v="0"/>
    <n v="86590"/>
  </r>
  <r>
    <s v="CSKU14803_3ES"/>
    <x v="2"/>
    <x v="0"/>
    <x v="0"/>
    <x v="9"/>
    <x v="4"/>
    <x v="7"/>
    <x v="454"/>
    <x v="0"/>
    <x v="14"/>
    <x v="0"/>
    <n v="90130"/>
  </r>
  <r>
    <s v="CSKU14804_3ES"/>
    <x v="2"/>
    <x v="0"/>
    <x v="0"/>
    <x v="2"/>
    <x v="1"/>
    <x v="7"/>
    <x v="454"/>
    <x v="0"/>
    <x v="14"/>
    <x v="0"/>
    <n v="96790"/>
  </r>
  <r>
    <s v="CSKU14805_3ES"/>
    <x v="2"/>
    <x v="0"/>
    <x v="0"/>
    <x v="8"/>
    <x v="1"/>
    <x v="7"/>
    <x v="454"/>
    <x v="0"/>
    <x v="14"/>
    <x v="0"/>
    <n v="100350"/>
  </r>
  <r>
    <s v="CSKU14806_3ES"/>
    <x v="2"/>
    <x v="0"/>
    <x v="0"/>
    <x v="9"/>
    <x v="1"/>
    <x v="7"/>
    <x v="454"/>
    <x v="0"/>
    <x v="14"/>
    <x v="0"/>
    <n v="105660"/>
  </r>
  <r>
    <s v="CSKU14807_3ES"/>
    <x v="2"/>
    <x v="0"/>
    <x v="1"/>
    <x v="2"/>
    <x v="4"/>
    <x v="7"/>
    <x v="454"/>
    <x v="1"/>
    <x v="14"/>
    <x v="0"/>
    <n v="89100"/>
  </r>
  <r>
    <s v="CSKU14808_3ES"/>
    <x v="2"/>
    <x v="0"/>
    <x v="1"/>
    <x v="2"/>
    <x v="1"/>
    <x v="7"/>
    <x v="454"/>
    <x v="1"/>
    <x v="14"/>
    <x v="0"/>
    <n v="103930"/>
  </r>
  <r>
    <s v="CSKU14842_3ES"/>
    <x v="2"/>
    <x v="0"/>
    <x v="0"/>
    <x v="9"/>
    <x v="1"/>
    <x v="7"/>
    <x v="378"/>
    <x v="0"/>
    <x v="14"/>
    <x v="0"/>
    <n v="105660"/>
  </r>
  <r>
    <s v="CSKU14843_3ES"/>
    <x v="2"/>
    <x v="0"/>
    <x v="1"/>
    <x v="2"/>
    <x v="4"/>
    <x v="7"/>
    <x v="378"/>
    <x v="1"/>
    <x v="14"/>
    <x v="0"/>
    <n v="89100"/>
  </r>
  <r>
    <s v="CSKU14844_3ES"/>
    <x v="2"/>
    <x v="0"/>
    <x v="1"/>
    <x v="2"/>
    <x v="1"/>
    <x v="7"/>
    <x v="378"/>
    <x v="1"/>
    <x v="14"/>
    <x v="0"/>
    <n v="103930"/>
  </r>
  <r>
    <s v="CSKU14845_3ES"/>
    <x v="2"/>
    <x v="0"/>
    <x v="1"/>
    <x v="8"/>
    <x v="4"/>
    <x v="7"/>
    <x v="378"/>
    <x v="1"/>
    <x v="14"/>
    <x v="0"/>
    <n v="93080"/>
  </r>
  <r>
    <s v="CSKU14846_3ES"/>
    <x v="2"/>
    <x v="0"/>
    <x v="1"/>
    <x v="8"/>
    <x v="1"/>
    <x v="7"/>
    <x v="378"/>
    <x v="1"/>
    <x v="14"/>
    <x v="0"/>
    <n v="107900"/>
  </r>
  <r>
    <s v="CSKU14847_3ES"/>
    <x v="2"/>
    <x v="0"/>
    <x v="1"/>
    <x v="9"/>
    <x v="4"/>
    <x v="7"/>
    <x v="378"/>
    <x v="1"/>
    <x v="14"/>
    <x v="0"/>
    <n v="97050"/>
  </r>
  <r>
    <s v="CSKU14848_3ES"/>
    <x v="2"/>
    <x v="0"/>
    <x v="1"/>
    <x v="9"/>
    <x v="1"/>
    <x v="7"/>
    <x v="378"/>
    <x v="1"/>
    <x v="14"/>
    <x v="0"/>
    <n v="113860"/>
  </r>
  <r>
    <s v="CSKU14873_3ES"/>
    <x v="2"/>
    <x v="0"/>
    <x v="0"/>
    <x v="2"/>
    <x v="4"/>
    <x v="7"/>
    <x v="455"/>
    <x v="0"/>
    <x v="14"/>
    <x v="0"/>
    <n v="70130"/>
  </r>
  <r>
    <s v="CSKU14874_3ES"/>
    <x v="2"/>
    <x v="0"/>
    <x v="0"/>
    <x v="8"/>
    <x v="4"/>
    <x v="7"/>
    <x v="455"/>
    <x v="0"/>
    <x v="14"/>
    <x v="0"/>
    <n v="73690"/>
  </r>
  <r>
    <s v="CSKU14875_3ES"/>
    <x v="2"/>
    <x v="0"/>
    <x v="0"/>
    <x v="9"/>
    <x v="4"/>
    <x v="7"/>
    <x v="455"/>
    <x v="0"/>
    <x v="14"/>
    <x v="0"/>
    <n v="77230"/>
  </r>
  <r>
    <s v="CSKU14876_3ES"/>
    <x v="2"/>
    <x v="0"/>
    <x v="0"/>
    <x v="2"/>
    <x v="1"/>
    <x v="7"/>
    <x v="455"/>
    <x v="0"/>
    <x v="14"/>
    <x v="0"/>
    <n v="80320"/>
  </r>
  <r>
    <s v="CSKU14877_3ES"/>
    <x v="2"/>
    <x v="0"/>
    <x v="0"/>
    <x v="8"/>
    <x v="1"/>
    <x v="7"/>
    <x v="455"/>
    <x v="0"/>
    <x v="14"/>
    <x v="0"/>
    <n v="83880"/>
  </r>
  <r>
    <s v="CSKU14878_3ES"/>
    <x v="2"/>
    <x v="0"/>
    <x v="0"/>
    <x v="9"/>
    <x v="1"/>
    <x v="7"/>
    <x v="455"/>
    <x v="0"/>
    <x v="14"/>
    <x v="0"/>
    <n v="89190"/>
  </r>
  <r>
    <s v="CSKU14879_3ES"/>
    <x v="2"/>
    <x v="0"/>
    <x v="1"/>
    <x v="2"/>
    <x v="4"/>
    <x v="7"/>
    <x v="455"/>
    <x v="1"/>
    <x v="14"/>
    <x v="0"/>
    <n v="76200"/>
  </r>
  <r>
    <s v="CSKU14880_3ES"/>
    <x v="2"/>
    <x v="0"/>
    <x v="1"/>
    <x v="2"/>
    <x v="1"/>
    <x v="7"/>
    <x v="455"/>
    <x v="1"/>
    <x v="14"/>
    <x v="0"/>
    <n v="87460"/>
  </r>
  <r>
    <s v="CSKU14909_3ES"/>
    <x v="2"/>
    <x v="0"/>
    <x v="0"/>
    <x v="2"/>
    <x v="4"/>
    <x v="7"/>
    <x v="456"/>
    <x v="0"/>
    <x v="14"/>
    <x v="0"/>
    <n v="94520"/>
  </r>
  <r>
    <s v="CSKU14910_3ES"/>
    <x v="2"/>
    <x v="0"/>
    <x v="0"/>
    <x v="8"/>
    <x v="4"/>
    <x v="7"/>
    <x v="456"/>
    <x v="0"/>
    <x v="14"/>
    <x v="0"/>
    <n v="98080"/>
  </r>
  <r>
    <s v="CSKU14911_3ES"/>
    <x v="2"/>
    <x v="0"/>
    <x v="0"/>
    <x v="9"/>
    <x v="4"/>
    <x v="7"/>
    <x v="456"/>
    <x v="0"/>
    <x v="14"/>
    <x v="0"/>
    <n v="101620"/>
  </r>
  <r>
    <s v="CSKU14912_3ES"/>
    <x v="2"/>
    <x v="0"/>
    <x v="0"/>
    <x v="2"/>
    <x v="1"/>
    <x v="7"/>
    <x v="456"/>
    <x v="0"/>
    <x v="14"/>
    <x v="0"/>
    <n v="109600"/>
  </r>
  <r>
    <s v="CSKU15133_3ES"/>
    <x v="2"/>
    <x v="0"/>
    <x v="1"/>
    <x v="8"/>
    <x v="4"/>
    <x v="7"/>
    <x v="451"/>
    <x v="1"/>
    <x v="14"/>
    <x v="0"/>
    <n v="93080"/>
  </r>
  <r>
    <s v="CSKU15134_3ES"/>
    <x v="2"/>
    <x v="0"/>
    <x v="1"/>
    <x v="8"/>
    <x v="1"/>
    <x v="7"/>
    <x v="451"/>
    <x v="1"/>
    <x v="14"/>
    <x v="0"/>
    <n v="107900"/>
  </r>
  <r>
    <s v="CSKU15135_3ES"/>
    <x v="2"/>
    <x v="0"/>
    <x v="1"/>
    <x v="9"/>
    <x v="4"/>
    <x v="7"/>
    <x v="451"/>
    <x v="1"/>
    <x v="14"/>
    <x v="0"/>
    <n v="97050"/>
  </r>
  <r>
    <s v="CSKU15136_3ES"/>
    <x v="2"/>
    <x v="0"/>
    <x v="1"/>
    <x v="9"/>
    <x v="1"/>
    <x v="7"/>
    <x v="451"/>
    <x v="1"/>
    <x v="14"/>
    <x v="0"/>
    <n v="113860"/>
  </r>
  <r>
    <s v="CSKU15161_3ES"/>
    <x v="2"/>
    <x v="0"/>
    <x v="0"/>
    <x v="2"/>
    <x v="4"/>
    <x v="7"/>
    <x v="172"/>
    <x v="0"/>
    <x v="14"/>
    <x v="0"/>
    <n v="107420"/>
  </r>
  <r>
    <s v="CSKU15162_3ES"/>
    <x v="2"/>
    <x v="0"/>
    <x v="0"/>
    <x v="8"/>
    <x v="4"/>
    <x v="7"/>
    <x v="172"/>
    <x v="0"/>
    <x v="14"/>
    <x v="0"/>
    <n v="110980"/>
  </r>
  <r>
    <s v="CSKU15024_3ES"/>
    <x v="2"/>
    <x v="0"/>
    <x v="1"/>
    <x v="2"/>
    <x v="1"/>
    <x v="7"/>
    <x v="453"/>
    <x v="1"/>
    <x v="14"/>
    <x v="0"/>
    <n v="132250"/>
  </r>
  <r>
    <s v="CSKU15063_3ES"/>
    <x v="2"/>
    <x v="0"/>
    <x v="1"/>
    <x v="9"/>
    <x v="4"/>
    <x v="7"/>
    <x v="448"/>
    <x v="1"/>
    <x v="14"/>
    <x v="0"/>
    <n v="97050"/>
  </r>
  <r>
    <s v="CSKU15025_3ES"/>
    <x v="2"/>
    <x v="0"/>
    <x v="1"/>
    <x v="8"/>
    <x v="4"/>
    <x v="7"/>
    <x v="453"/>
    <x v="1"/>
    <x v="14"/>
    <x v="0"/>
    <n v="116510"/>
  </r>
  <r>
    <s v="CSKU15026_3ES"/>
    <x v="2"/>
    <x v="0"/>
    <x v="1"/>
    <x v="8"/>
    <x v="1"/>
    <x v="7"/>
    <x v="453"/>
    <x v="1"/>
    <x v="14"/>
    <x v="0"/>
    <n v="136220"/>
  </r>
  <r>
    <s v="CSKU15027_3ES"/>
    <x v="2"/>
    <x v="0"/>
    <x v="1"/>
    <x v="9"/>
    <x v="4"/>
    <x v="7"/>
    <x v="453"/>
    <x v="1"/>
    <x v="14"/>
    <x v="0"/>
    <n v="120480"/>
  </r>
  <r>
    <s v="CSKU15028_3ES"/>
    <x v="2"/>
    <x v="0"/>
    <x v="1"/>
    <x v="9"/>
    <x v="1"/>
    <x v="7"/>
    <x v="453"/>
    <x v="1"/>
    <x v="14"/>
    <x v="0"/>
    <n v="142180"/>
  </r>
  <r>
    <s v="CSKU14881_3ES"/>
    <x v="2"/>
    <x v="0"/>
    <x v="1"/>
    <x v="8"/>
    <x v="4"/>
    <x v="7"/>
    <x v="455"/>
    <x v="1"/>
    <x v="14"/>
    <x v="0"/>
    <n v="80180"/>
  </r>
  <r>
    <s v="CSKU14882_3ES"/>
    <x v="2"/>
    <x v="0"/>
    <x v="1"/>
    <x v="8"/>
    <x v="1"/>
    <x v="7"/>
    <x v="455"/>
    <x v="1"/>
    <x v="14"/>
    <x v="0"/>
    <n v="91430"/>
  </r>
  <r>
    <s v="CSKU14883_3ES"/>
    <x v="2"/>
    <x v="0"/>
    <x v="1"/>
    <x v="9"/>
    <x v="4"/>
    <x v="7"/>
    <x v="455"/>
    <x v="1"/>
    <x v="14"/>
    <x v="0"/>
    <n v="84150"/>
  </r>
  <r>
    <s v="CSKU14884_3ES"/>
    <x v="2"/>
    <x v="0"/>
    <x v="1"/>
    <x v="9"/>
    <x v="1"/>
    <x v="7"/>
    <x v="455"/>
    <x v="1"/>
    <x v="14"/>
    <x v="0"/>
    <n v="97390"/>
  </r>
  <r>
    <s v="CSKU15064_3ES"/>
    <x v="2"/>
    <x v="0"/>
    <x v="1"/>
    <x v="9"/>
    <x v="1"/>
    <x v="7"/>
    <x v="448"/>
    <x v="1"/>
    <x v="14"/>
    <x v="0"/>
    <n v="113860"/>
  </r>
  <r>
    <s v="CSKU15197_3ES"/>
    <x v="2"/>
    <x v="0"/>
    <x v="0"/>
    <x v="2"/>
    <x v="4"/>
    <x v="7"/>
    <x v="173"/>
    <x v="0"/>
    <x v="14"/>
    <x v="0"/>
    <n v="94520"/>
  </r>
  <r>
    <s v="CSKU15198_3ES"/>
    <x v="2"/>
    <x v="0"/>
    <x v="0"/>
    <x v="8"/>
    <x v="4"/>
    <x v="7"/>
    <x v="173"/>
    <x v="0"/>
    <x v="14"/>
    <x v="0"/>
    <n v="98080"/>
  </r>
  <r>
    <s v="CSKU15199_3ES"/>
    <x v="2"/>
    <x v="0"/>
    <x v="0"/>
    <x v="9"/>
    <x v="4"/>
    <x v="7"/>
    <x v="173"/>
    <x v="0"/>
    <x v="14"/>
    <x v="0"/>
    <n v="101620"/>
  </r>
  <r>
    <s v="CSKU15200_3ES"/>
    <x v="2"/>
    <x v="0"/>
    <x v="0"/>
    <x v="2"/>
    <x v="1"/>
    <x v="7"/>
    <x v="173"/>
    <x v="0"/>
    <x v="14"/>
    <x v="0"/>
    <n v="109600"/>
  </r>
  <r>
    <s v="CSKU14585_3ES"/>
    <x v="2"/>
    <x v="0"/>
    <x v="0"/>
    <x v="2"/>
    <x v="4"/>
    <x v="7"/>
    <x v="457"/>
    <x v="0"/>
    <x v="14"/>
    <x v="0"/>
    <n v="83030"/>
  </r>
  <r>
    <s v="CSKU14586_3ES"/>
    <x v="2"/>
    <x v="0"/>
    <x v="0"/>
    <x v="8"/>
    <x v="4"/>
    <x v="7"/>
    <x v="457"/>
    <x v="0"/>
    <x v="14"/>
    <x v="0"/>
    <n v="86590"/>
  </r>
  <r>
    <s v="CSKU14587_3ES"/>
    <x v="2"/>
    <x v="0"/>
    <x v="0"/>
    <x v="9"/>
    <x v="4"/>
    <x v="7"/>
    <x v="457"/>
    <x v="0"/>
    <x v="14"/>
    <x v="0"/>
    <n v="90130"/>
  </r>
  <r>
    <s v="CSKU14913_3ES"/>
    <x v="2"/>
    <x v="0"/>
    <x v="0"/>
    <x v="8"/>
    <x v="1"/>
    <x v="7"/>
    <x v="456"/>
    <x v="0"/>
    <x v="14"/>
    <x v="0"/>
    <n v="113160"/>
  </r>
  <r>
    <s v="CSKU14952_3ES"/>
    <x v="2"/>
    <x v="0"/>
    <x v="1"/>
    <x v="2"/>
    <x v="1"/>
    <x v="7"/>
    <x v="452"/>
    <x v="1"/>
    <x v="14"/>
    <x v="0"/>
    <n v="111850"/>
  </r>
  <r>
    <s v="CSKU14765_3ES"/>
    <x v="2"/>
    <x v="0"/>
    <x v="0"/>
    <x v="2"/>
    <x v="4"/>
    <x v="7"/>
    <x v="458"/>
    <x v="0"/>
    <x v="14"/>
    <x v="0"/>
    <n v="83030"/>
  </r>
  <r>
    <s v="CSKU14766_3ES"/>
    <x v="2"/>
    <x v="0"/>
    <x v="0"/>
    <x v="8"/>
    <x v="4"/>
    <x v="7"/>
    <x v="458"/>
    <x v="0"/>
    <x v="14"/>
    <x v="0"/>
    <n v="86590"/>
  </r>
  <r>
    <s v="CSKU14767_3ES"/>
    <x v="2"/>
    <x v="0"/>
    <x v="0"/>
    <x v="9"/>
    <x v="4"/>
    <x v="7"/>
    <x v="458"/>
    <x v="0"/>
    <x v="14"/>
    <x v="0"/>
    <n v="90130"/>
  </r>
  <r>
    <s v="CSKU14768_3ES"/>
    <x v="2"/>
    <x v="0"/>
    <x v="0"/>
    <x v="2"/>
    <x v="1"/>
    <x v="7"/>
    <x v="458"/>
    <x v="0"/>
    <x v="14"/>
    <x v="0"/>
    <n v="96790"/>
  </r>
  <r>
    <s v="CSKU14702_3ES"/>
    <x v="2"/>
    <x v="0"/>
    <x v="1"/>
    <x v="8"/>
    <x v="1"/>
    <x v="7"/>
    <x v="459"/>
    <x v="1"/>
    <x v="14"/>
    <x v="0"/>
    <n v="87500"/>
  </r>
  <r>
    <s v="CSKU14703_3ES"/>
    <x v="2"/>
    <x v="0"/>
    <x v="1"/>
    <x v="9"/>
    <x v="4"/>
    <x v="7"/>
    <x v="459"/>
    <x v="1"/>
    <x v="14"/>
    <x v="0"/>
    <n v="80640"/>
  </r>
  <r>
    <s v="CSKU14704_3ES"/>
    <x v="2"/>
    <x v="0"/>
    <x v="1"/>
    <x v="9"/>
    <x v="1"/>
    <x v="7"/>
    <x v="459"/>
    <x v="1"/>
    <x v="14"/>
    <x v="0"/>
    <n v="93460"/>
  </r>
  <r>
    <s v="CSKU14769_3ES"/>
    <x v="2"/>
    <x v="0"/>
    <x v="0"/>
    <x v="8"/>
    <x v="1"/>
    <x v="7"/>
    <x v="458"/>
    <x v="0"/>
    <x v="14"/>
    <x v="0"/>
    <n v="100350"/>
  </r>
  <r>
    <s v="CSKU14809_3ES"/>
    <x v="2"/>
    <x v="0"/>
    <x v="1"/>
    <x v="8"/>
    <x v="4"/>
    <x v="7"/>
    <x v="454"/>
    <x v="1"/>
    <x v="14"/>
    <x v="0"/>
    <n v="93080"/>
  </r>
  <r>
    <s v="CSKU14729_3ES"/>
    <x v="2"/>
    <x v="0"/>
    <x v="0"/>
    <x v="2"/>
    <x v="4"/>
    <x v="7"/>
    <x v="460"/>
    <x v="0"/>
    <x v="14"/>
    <x v="0"/>
    <n v="83030"/>
  </r>
  <r>
    <s v="CSKU14730_3ES"/>
    <x v="2"/>
    <x v="0"/>
    <x v="0"/>
    <x v="8"/>
    <x v="4"/>
    <x v="7"/>
    <x v="460"/>
    <x v="0"/>
    <x v="14"/>
    <x v="0"/>
    <n v="86590"/>
  </r>
  <r>
    <s v="CSKU14731_3ES"/>
    <x v="2"/>
    <x v="0"/>
    <x v="0"/>
    <x v="9"/>
    <x v="4"/>
    <x v="7"/>
    <x v="460"/>
    <x v="0"/>
    <x v="14"/>
    <x v="0"/>
    <n v="90130"/>
  </r>
  <r>
    <s v="CSKU14732_3ES"/>
    <x v="2"/>
    <x v="0"/>
    <x v="0"/>
    <x v="2"/>
    <x v="1"/>
    <x v="7"/>
    <x v="460"/>
    <x v="0"/>
    <x v="14"/>
    <x v="0"/>
    <n v="96790"/>
  </r>
  <r>
    <s v="CSKU14733_3ES"/>
    <x v="2"/>
    <x v="0"/>
    <x v="0"/>
    <x v="8"/>
    <x v="1"/>
    <x v="7"/>
    <x v="460"/>
    <x v="0"/>
    <x v="14"/>
    <x v="0"/>
    <n v="100350"/>
  </r>
  <r>
    <s v="CSKU14734_3ES"/>
    <x v="2"/>
    <x v="0"/>
    <x v="0"/>
    <x v="9"/>
    <x v="1"/>
    <x v="7"/>
    <x v="460"/>
    <x v="0"/>
    <x v="14"/>
    <x v="0"/>
    <n v="105660"/>
  </r>
  <r>
    <s v="CSKU14735_3ES"/>
    <x v="2"/>
    <x v="0"/>
    <x v="1"/>
    <x v="2"/>
    <x v="4"/>
    <x v="7"/>
    <x v="460"/>
    <x v="1"/>
    <x v="14"/>
    <x v="0"/>
    <n v="89100"/>
  </r>
  <r>
    <s v="CSKU14770_3ES"/>
    <x v="2"/>
    <x v="0"/>
    <x v="0"/>
    <x v="9"/>
    <x v="1"/>
    <x v="7"/>
    <x v="458"/>
    <x v="0"/>
    <x v="14"/>
    <x v="0"/>
    <n v="105660"/>
  </r>
  <r>
    <s v="CSKU14771_3ES"/>
    <x v="2"/>
    <x v="0"/>
    <x v="1"/>
    <x v="2"/>
    <x v="4"/>
    <x v="7"/>
    <x v="458"/>
    <x v="1"/>
    <x v="14"/>
    <x v="0"/>
    <n v="89100"/>
  </r>
  <r>
    <s v="CSKU14772_3ES"/>
    <x v="2"/>
    <x v="0"/>
    <x v="1"/>
    <x v="2"/>
    <x v="1"/>
    <x v="7"/>
    <x v="458"/>
    <x v="1"/>
    <x v="14"/>
    <x v="0"/>
    <n v="103930"/>
  </r>
  <r>
    <s v="CSKU14773_3ES"/>
    <x v="2"/>
    <x v="0"/>
    <x v="1"/>
    <x v="8"/>
    <x v="4"/>
    <x v="7"/>
    <x v="458"/>
    <x v="1"/>
    <x v="14"/>
    <x v="0"/>
    <n v="93080"/>
  </r>
  <r>
    <s v="CSKU14774_3ES"/>
    <x v="2"/>
    <x v="0"/>
    <x v="1"/>
    <x v="8"/>
    <x v="1"/>
    <x v="7"/>
    <x v="458"/>
    <x v="1"/>
    <x v="14"/>
    <x v="0"/>
    <n v="107900"/>
  </r>
  <r>
    <s v="CSKU14775_3ES"/>
    <x v="2"/>
    <x v="0"/>
    <x v="1"/>
    <x v="9"/>
    <x v="4"/>
    <x v="7"/>
    <x v="458"/>
    <x v="1"/>
    <x v="14"/>
    <x v="0"/>
    <n v="97050"/>
  </r>
  <r>
    <s v="CSKU14776_3ES"/>
    <x v="2"/>
    <x v="0"/>
    <x v="1"/>
    <x v="9"/>
    <x v="1"/>
    <x v="7"/>
    <x v="458"/>
    <x v="1"/>
    <x v="14"/>
    <x v="0"/>
    <n v="113860"/>
  </r>
  <r>
    <s v="CSKU14810_3ES"/>
    <x v="2"/>
    <x v="0"/>
    <x v="1"/>
    <x v="8"/>
    <x v="1"/>
    <x v="7"/>
    <x v="454"/>
    <x v="1"/>
    <x v="14"/>
    <x v="0"/>
    <n v="107900"/>
  </r>
  <r>
    <s v="CSKU14811_3ES"/>
    <x v="2"/>
    <x v="0"/>
    <x v="1"/>
    <x v="9"/>
    <x v="4"/>
    <x v="7"/>
    <x v="454"/>
    <x v="1"/>
    <x v="14"/>
    <x v="0"/>
    <n v="97050"/>
  </r>
  <r>
    <s v="CSKU14812_3ES"/>
    <x v="2"/>
    <x v="0"/>
    <x v="1"/>
    <x v="9"/>
    <x v="1"/>
    <x v="7"/>
    <x v="454"/>
    <x v="1"/>
    <x v="14"/>
    <x v="0"/>
    <n v="113860"/>
  </r>
  <r>
    <s v="CSKU14914_3ES"/>
    <x v="2"/>
    <x v="0"/>
    <x v="0"/>
    <x v="9"/>
    <x v="1"/>
    <x v="7"/>
    <x v="456"/>
    <x v="0"/>
    <x v="14"/>
    <x v="0"/>
    <n v="118470"/>
  </r>
  <r>
    <s v="CSKU14915_3ES"/>
    <x v="2"/>
    <x v="0"/>
    <x v="1"/>
    <x v="2"/>
    <x v="4"/>
    <x v="7"/>
    <x v="456"/>
    <x v="1"/>
    <x v="14"/>
    <x v="0"/>
    <n v="99630"/>
  </r>
  <r>
    <s v="CSKU14916_3ES"/>
    <x v="2"/>
    <x v="0"/>
    <x v="1"/>
    <x v="2"/>
    <x v="1"/>
    <x v="7"/>
    <x v="456"/>
    <x v="1"/>
    <x v="14"/>
    <x v="0"/>
    <n v="115780"/>
  </r>
  <r>
    <s v="CSKU14917_3ES"/>
    <x v="2"/>
    <x v="0"/>
    <x v="1"/>
    <x v="8"/>
    <x v="4"/>
    <x v="7"/>
    <x v="456"/>
    <x v="1"/>
    <x v="14"/>
    <x v="0"/>
    <n v="103610"/>
  </r>
  <r>
    <s v="CSKU14918_3ES"/>
    <x v="2"/>
    <x v="0"/>
    <x v="1"/>
    <x v="8"/>
    <x v="1"/>
    <x v="7"/>
    <x v="456"/>
    <x v="1"/>
    <x v="14"/>
    <x v="0"/>
    <n v="119750"/>
  </r>
  <r>
    <s v="CSKU14919_3ES"/>
    <x v="2"/>
    <x v="0"/>
    <x v="1"/>
    <x v="9"/>
    <x v="4"/>
    <x v="7"/>
    <x v="456"/>
    <x v="1"/>
    <x v="14"/>
    <x v="0"/>
    <n v="107580"/>
  </r>
  <r>
    <s v="CSKU14920_3ES"/>
    <x v="2"/>
    <x v="0"/>
    <x v="1"/>
    <x v="9"/>
    <x v="1"/>
    <x v="7"/>
    <x v="456"/>
    <x v="1"/>
    <x v="14"/>
    <x v="0"/>
    <n v="125710"/>
  </r>
  <r>
    <s v="CSKU14588_3ES"/>
    <x v="2"/>
    <x v="0"/>
    <x v="0"/>
    <x v="2"/>
    <x v="1"/>
    <x v="7"/>
    <x v="457"/>
    <x v="0"/>
    <x v="14"/>
    <x v="0"/>
    <n v="96790"/>
  </r>
  <r>
    <s v="CSKU14558_3ES"/>
    <x v="2"/>
    <x v="0"/>
    <x v="1"/>
    <x v="8"/>
    <x v="1"/>
    <x v="7"/>
    <x v="170"/>
    <x v="1"/>
    <x v="14"/>
    <x v="0"/>
    <n v="119750"/>
  </r>
  <r>
    <s v="CSKU14559_3ES"/>
    <x v="2"/>
    <x v="0"/>
    <x v="1"/>
    <x v="9"/>
    <x v="4"/>
    <x v="7"/>
    <x v="170"/>
    <x v="1"/>
    <x v="14"/>
    <x v="0"/>
    <n v="107580"/>
  </r>
  <r>
    <s v="CSKU14560_3ES"/>
    <x v="2"/>
    <x v="0"/>
    <x v="1"/>
    <x v="9"/>
    <x v="1"/>
    <x v="7"/>
    <x v="170"/>
    <x v="1"/>
    <x v="14"/>
    <x v="0"/>
    <n v="125710"/>
  </r>
  <r>
    <s v="CSKU14589_3ES"/>
    <x v="2"/>
    <x v="0"/>
    <x v="0"/>
    <x v="8"/>
    <x v="1"/>
    <x v="7"/>
    <x v="457"/>
    <x v="0"/>
    <x v="14"/>
    <x v="0"/>
    <n v="100350"/>
  </r>
  <r>
    <s v="CSKU14590_3ES"/>
    <x v="2"/>
    <x v="0"/>
    <x v="0"/>
    <x v="9"/>
    <x v="1"/>
    <x v="7"/>
    <x v="457"/>
    <x v="0"/>
    <x v="14"/>
    <x v="0"/>
    <n v="105660"/>
  </r>
  <r>
    <s v="CSKU14591_3ES"/>
    <x v="2"/>
    <x v="0"/>
    <x v="1"/>
    <x v="2"/>
    <x v="4"/>
    <x v="7"/>
    <x v="457"/>
    <x v="1"/>
    <x v="14"/>
    <x v="0"/>
    <n v="89100"/>
  </r>
  <r>
    <s v="CSKU14592_3ES"/>
    <x v="2"/>
    <x v="0"/>
    <x v="1"/>
    <x v="2"/>
    <x v="1"/>
    <x v="7"/>
    <x v="457"/>
    <x v="1"/>
    <x v="14"/>
    <x v="0"/>
    <n v="103930"/>
  </r>
  <r>
    <s v="CSKU14593_3ES"/>
    <x v="2"/>
    <x v="0"/>
    <x v="1"/>
    <x v="8"/>
    <x v="4"/>
    <x v="7"/>
    <x v="457"/>
    <x v="1"/>
    <x v="14"/>
    <x v="0"/>
    <n v="93080"/>
  </r>
  <r>
    <s v="CSKU14594_3ES"/>
    <x v="2"/>
    <x v="0"/>
    <x v="1"/>
    <x v="8"/>
    <x v="1"/>
    <x v="7"/>
    <x v="457"/>
    <x v="1"/>
    <x v="14"/>
    <x v="0"/>
    <n v="107900"/>
  </r>
  <r>
    <s v="CSKU14595_3ES"/>
    <x v="2"/>
    <x v="0"/>
    <x v="1"/>
    <x v="9"/>
    <x v="4"/>
    <x v="7"/>
    <x v="457"/>
    <x v="1"/>
    <x v="14"/>
    <x v="0"/>
    <n v="97050"/>
  </r>
  <r>
    <s v="CSKU14596_3ES"/>
    <x v="2"/>
    <x v="0"/>
    <x v="1"/>
    <x v="9"/>
    <x v="1"/>
    <x v="7"/>
    <x v="457"/>
    <x v="1"/>
    <x v="14"/>
    <x v="0"/>
    <n v="113860"/>
  </r>
  <r>
    <s v="CSKU14621_3ES"/>
    <x v="2"/>
    <x v="0"/>
    <x v="0"/>
    <x v="2"/>
    <x v="4"/>
    <x v="7"/>
    <x v="461"/>
    <x v="0"/>
    <x v="14"/>
    <x v="0"/>
    <n v="70130"/>
  </r>
  <r>
    <s v="CSKU14622_3ES"/>
    <x v="2"/>
    <x v="0"/>
    <x v="0"/>
    <x v="8"/>
    <x v="4"/>
    <x v="7"/>
    <x v="461"/>
    <x v="0"/>
    <x v="14"/>
    <x v="0"/>
    <n v="73690"/>
  </r>
  <r>
    <s v="CSKU14623_3ES"/>
    <x v="2"/>
    <x v="0"/>
    <x v="0"/>
    <x v="9"/>
    <x v="4"/>
    <x v="7"/>
    <x v="461"/>
    <x v="0"/>
    <x v="14"/>
    <x v="0"/>
    <n v="77230"/>
  </r>
  <r>
    <s v="CSKU14624_3ES"/>
    <x v="2"/>
    <x v="0"/>
    <x v="0"/>
    <x v="2"/>
    <x v="1"/>
    <x v="7"/>
    <x v="461"/>
    <x v="0"/>
    <x v="14"/>
    <x v="0"/>
    <n v="80320"/>
  </r>
  <r>
    <s v="CSKU14625_3ES"/>
    <x v="2"/>
    <x v="0"/>
    <x v="0"/>
    <x v="8"/>
    <x v="1"/>
    <x v="7"/>
    <x v="461"/>
    <x v="0"/>
    <x v="14"/>
    <x v="0"/>
    <n v="83880"/>
  </r>
  <r>
    <s v="CSKU14626_3ES"/>
    <x v="2"/>
    <x v="0"/>
    <x v="0"/>
    <x v="9"/>
    <x v="1"/>
    <x v="7"/>
    <x v="461"/>
    <x v="0"/>
    <x v="14"/>
    <x v="0"/>
    <n v="89190"/>
  </r>
  <r>
    <s v="CSKU14627_3ES"/>
    <x v="2"/>
    <x v="0"/>
    <x v="1"/>
    <x v="2"/>
    <x v="4"/>
    <x v="7"/>
    <x v="461"/>
    <x v="1"/>
    <x v="14"/>
    <x v="0"/>
    <n v="76200"/>
  </r>
  <r>
    <s v="CSKU14953_3ES"/>
    <x v="2"/>
    <x v="0"/>
    <x v="1"/>
    <x v="8"/>
    <x v="4"/>
    <x v="7"/>
    <x v="452"/>
    <x v="1"/>
    <x v="14"/>
    <x v="0"/>
    <n v="100100"/>
  </r>
  <r>
    <s v="CSKU14954_3ES"/>
    <x v="2"/>
    <x v="0"/>
    <x v="1"/>
    <x v="8"/>
    <x v="1"/>
    <x v="7"/>
    <x v="452"/>
    <x v="1"/>
    <x v="14"/>
    <x v="0"/>
    <n v="115820"/>
  </r>
  <r>
    <s v="CSKU14955_3ES"/>
    <x v="2"/>
    <x v="0"/>
    <x v="1"/>
    <x v="9"/>
    <x v="4"/>
    <x v="7"/>
    <x v="452"/>
    <x v="1"/>
    <x v="14"/>
    <x v="0"/>
    <n v="104070"/>
  </r>
  <r>
    <s v="CSKU14956_3ES"/>
    <x v="2"/>
    <x v="0"/>
    <x v="1"/>
    <x v="9"/>
    <x v="1"/>
    <x v="7"/>
    <x v="452"/>
    <x v="1"/>
    <x v="14"/>
    <x v="0"/>
    <n v="121780"/>
  </r>
  <r>
    <s v="CSKU14443_3ES"/>
    <x v="2"/>
    <x v="0"/>
    <x v="0"/>
    <x v="9"/>
    <x v="4"/>
    <x v="7"/>
    <x v="167"/>
    <x v="0"/>
    <x v="14"/>
    <x v="0"/>
    <n v="90130"/>
  </r>
  <r>
    <s v="CSKU14444_3ES"/>
    <x v="2"/>
    <x v="0"/>
    <x v="0"/>
    <x v="2"/>
    <x v="1"/>
    <x v="7"/>
    <x v="167"/>
    <x v="0"/>
    <x v="14"/>
    <x v="0"/>
    <n v="96790"/>
  </r>
  <r>
    <s v="CSKU14445_3ES"/>
    <x v="2"/>
    <x v="0"/>
    <x v="0"/>
    <x v="8"/>
    <x v="1"/>
    <x v="7"/>
    <x v="167"/>
    <x v="0"/>
    <x v="14"/>
    <x v="0"/>
    <n v="100350"/>
  </r>
  <r>
    <s v="CSKU14446_3ES"/>
    <x v="2"/>
    <x v="0"/>
    <x v="0"/>
    <x v="9"/>
    <x v="1"/>
    <x v="7"/>
    <x v="167"/>
    <x v="0"/>
    <x v="14"/>
    <x v="0"/>
    <n v="105660"/>
  </r>
  <r>
    <s v="CSKU14447_3ES"/>
    <x v="2"/>
    <x v="0"/>
    <x v="1"/>
    <x v="2"/>
    <x v="4"/>
    <x v="7"/>
    <x v="167"/>
    <x v="1"/>
    <x v="14"/>
    <x v="0"/>
    <n v="89100"/>
  </r>
  <r>
    <s v="CSKU14448_3ES"/>
    <x v="2"/>
    <x v="0"/>
    <x v="1"/>
    <x v="2"/>
    <x v="1"/>
    <x v="7"/>
    <x v="167"/>
    <x v="1"/>
    <x v="14"/>
    <x v="0"/>
    <n v="103930"/>
  </r>
  <r>
    <s v="CSKU14628_3ES"/>
    <x v="2"/>
    <x v="0"/>
    <x v="1"/>
    <x v="2"/>
    <x v="1"/>
    <x v="7"/>
    <x v="461"/>
    <x v="1"/>
    <x v="14"/>
    <x v="0"/>
    <n v="87460"/>
  </r>
  <r>
    <s v="CSKU14629_3ES"/>
    <x v="2"/>
    <x v="0"/>
    <x v="1"/>
    <x v="8"/>
    <x v="4"/>
    <x v="7"/>
    <x v="461"/>
    <x v="1"/>
    <x v="14"/>
    <x v="0"/>
    <n v="80180"/>
  </r>
  <r>
    <s v="CSKU14630_3ES"/>
    <x v="2"/>
    <x v="0"/>
    <x v="1"/>
    <x v="8"/>
    <x v="1"/>
    <x v="7"/>
    <x v="461"/>
    <x v="1"/>
    <x v="14"/>
    <x v="0"/>
    <n v="91430"/>
  </r>
  <r>
    <s v="CSKU14631_3ES"/>
    <x v="2"/>
    <x v="0"/>
    <x v="1"/>
    <x v="9"/>
    <x v="4"/>
    <x v="7"/>
    <x v="461"/>
    <x v="1"/>
    <x v="14"/>
    <x v="0"/>
    <n v="84150"/>
  </r>
  <r>
    <s v="CSKU14632_3ES"/>
    <x v="2"/>
    <x v="0"/>
    <x v="1"/>
    <x v="9"/>
    <x v="1"/>
    <x v="7"/>
    <x v="461"/>
    <x v="1"/>
    <x v="14"/>
    <x v="0"/>
    <n v="97390"/>
  </r>
  <r>
    <s v="CSKU14477_3ES"/>
    <x v="2"/>
    <x v="0"/>
    <x v="0"/>
    <x v="2"/>
    <x v="4"/>
    <x v="7"/>
    <x v="168"/>
    <x v="0"/>
    <x v="14"/>
    <x v="0"/>
    <n v="107420"/>
  </r>
  <r>
    <s v="CSKU14478_3ES"/>
    <x v="2"/>
    <x v="0"/>
    <x v="0"/>
    <x v="8"/>
    <x v="4"/>
    <x v="7"/>
    <x v="168"/>
    <x v="0"/>
    <x v="14"/>
    <x v="0"/>
    <n v="110980"/>
  </r>
  <r>
    <s v="CSKU14479_3ES"/>
    <x v="2"/>
    <x v="0"/>
    <x v="0"/>
    <x v="9"/>
    <x v="4"/>
    <x v="7"/>
    <x v="168"/>
    <x v="0"/>
    <x v="14"/>
    <x v="0"/>
    <n v="114520"/>
  </r>
  <r>
    <s v="CSKU14480_3ES"/>
    <x v="2"/>
    <x v="0"/>
    <x v="0"/>
    <x v="2"/>
    <x v="1"/>
    <x v="7"/>
    <x v="168"/>
    <x v="0"/>
    <x v="14"/>
    <x v="0"/>
    <n v="126070"/>
  </r>
  <r>
    <s v="CSKU14657_3ES"/>
    <x v="2"/>
    <x v="0"/>
    <x v="0"/>
    <x v="2"/>
    <x v="4"/>
    <x v="7"/>
    <x v="171"/>
    <x v="0"/>
    <x v="14"/>
    <x v="0"/>
    <n v="83030"/>
  </r>
  <r>
    <s v="CSKU14658_3ES"/>
    <x v="2"/>
    <x v="0"/>
    <x v="0"/>
    <x v="8"/>
    <x v="4"/>
    <x v="7"/>
    <x v="171"/>
    <x v="0"/>
    <x v="14"/>
    <x v="0"/>
    <n v="86590"/>
  </r>
  <r>
    <s v="CSKU14659_3ES"/>
    <x v="2"/>
    <x v="0"/>
    <x v="0"/>
    <x v="9"/>
    <x v="4"/>
    <x v="7"/>
    <x v="171"/>
    <x v="0"/>
    <x v="14"/>
    <x v="0"/>
    <n v="90130"/>
  </r>
  <r>
    <s v="CSKU14660_3ES"/>
    <x v="2"/>
    <x v="0"/>
    <x v="0"/>
    <x v="2"/>
    <x v="1"/>
    <x v="7"/>
    <x v="171"/>
    <x v="0"/>
    <x v="14"/>
    <x v="0"/>
    <n v="96790"/>
  </r>
  <r>
    <s v="CSKU14661_3ES"/>
    <x v="2"/>
    <x v="0"/>
    <x v="0"/>
    <x v="8"/>
    <x v="1"/>
    <x v="7"/>
    <x v="171"/>
    <x v="0"/>
    <x v="14"/>
    <x v="0"/>
    <n v="100350"/>
  </r>
  <r>
    <s v="CSKU14662_3ES"/>
    <x v="2"/>
    <x v="0"/>
    <x v="0"/>
    <x v="9"/>
    <x v="1"/>
    <x v="7"/>
    <x v="171"/>
    <x v="0"/>
    <x v="14"/>
    <x v="0"/>
    <n v="105660"/>
  </r>
  <r>
    <s v="CSKU14663_3ES"/>
    <x v="2"/>
    <x v="0"/>
    <x v="1"/>
    <x v="2"/>
    <x v="4"/>
    <x v="7"/>
    <x v="171"/>
    <x v="1"/>
    <x v="14"/>
    <x v="0"/>
    <n v="89100"/>
  </r>
  <r>
    <s v="CSKU14664_3ES"/>
    <x v="2"/>
    <x v="0"/>
    <x v="1"/>
    <x v="2"/>
    <x v="1"/>
    <x v="7"/>
    <x v="171"/>
    <x v="1"/>
    <x v="14"/>
    <x v="0"/>
    <n v="103930"/>
  </r>
  <r>
    <s v="CSKU14665_3ES"/>
    <x v="2"/>
    <x v="0"/>
    <x v="1"/>
    <x v="8"/>
    <x v="4"/>
    <x v="7"/>
    <x v="171"/>
    <x v="1"/>
    <x v="14"/>
    <x v="0"/>
    <n v="93080"/>
  </r>
  <r>
    <s v="CSKU14666_3ES"/>
    <x v="2"/>
    <x v="0"/>
    <x v="1"/>
    <x v="8"/>
    <x v="1"/>
    <x v="7"/>
    <x v="171"/>
    <x v="1"/>
    <x v="14"/>
    <x v="0"/>
    <n v="107900"/>
  </r>
  <r>
    <s v="CSKU14736_3ES"/>
    <x v="2"/>
    <x v="0"/>
    <x v="1"/>
    <x v="2"/>
    <x v="1"/>
    <x v="7"/>
    <x v="460"/>
    <x v="1"/>
    <x v="14"/>
    <x v="0"/>
    <n v="103930"/>
  </r>
  <r>
    <s v="CSKU14333_3ES"/>
    <x v="2"/>
    <x v="0"/>
    <x v="0"/>
    <x v="2"/>
    <x v="4"/>
    <x v="7"/>
    <x v="164"/>
    <x v="0"/>
    <x v="14"/>
    <x v="0"/>
    <n v="91010"/>
  </r>
  <r>
    <s v="CSKU14334_3ES"/>
    <x v="2"/>
    <x v="0"/>
    <x v="0"/>
    <x v="8"/>
    <x v="4"/>
    <x v="7"/>
    <x v="164"/>
    <x v="0"/>
    <x v="14"/>
    <x v="0"/>
    <n v="94570"/>
  </r>
  <r>
    <s v="CSKU14335_3ES"/>
    <x v="2"/>
    <x v="0"/>
    <x v="0"/>
    <x v="9"/>
    <x v="4"/>
    <x v="7"/>
    <x v="164"/>
    <x v="0"/>
    <x v="14"/>
    <x v="0"/>
    <n v="98110"/>
  </r>
  <r>
    <s v="CSKU14336_3ES"/>
    <x v="2"/>
    <x v="0"/>
    <x v="0"/>
    <x v="2"/>
    <x v="1"/>
    <x v="7"/>
    <x v="164"/>
    <x v="0"/>
    <x v="14"/>
    <x v="0"/>
    <n v="105670"/>
  </r>
  <r>
    <s v="CSKU14337_3ES"/>
    <x v="2"/>
    <x v="0"/>
    <x v="0"/>
    <x v="8"/>
    <x v="1"/>
    <x v="7"/>
    <x v="164"/>
    <x v="0"/>
    <x v="14"/>
    <x v="0"/>
    <n v="109230"/>
  </r>
  <r>
    <s v="CSKU14338_3ES"/>
    <x v="2"/>
    <x v="0"/>
    <x v="0"/>
    <x v="9"/>
    <x v="1"/>
    <x v="7"/>
    <x v="164"/>
    <x v="0"/>
    <x v="14"/>
    <x v="0"/>
    <n v="114540"/>
  </r>
  <r>
    <s v="CSKU14513_3ES"/>
    <x v="2"/>
    <x v="0"/>
    <x v="0"/>
    <x v="2"/>
    <x v="4"/>
    <x v="7"/>
    <x v="169"/>
    <x v="0"/>
    <x v="14"/>
    <x v="0"/>
    <n v="107420"/>
  </r>
  <r>
    <s v="CSKU14514_3ES"/>
    <x v="2"/>
    <x v="0"/>
    <x v="0"/>
    <x v="8"/>
    <x v="4"/>
    <x v="7"/>
    <x v="169"/>
    <x v="0"/>
    <x v="14"/>
    <x v="0"/>
    <n v="110980"/>
  </r>
  <r>
    <s v="CSKU14515_3ES"/>
    <x v="2"/>
    <x v="0"/>
    <x v="0"/>
    <x v="9"/>
    <x v="4"/>
    <x v="7"/>
    <x v="169"/>
    <x v="0"/>
    <x v="14"/>
    <x v="0"/>
    <n v="114520"/>
  </r>
  <r>
    <s v="CSKU14516_3ES"/>
    <x v="2"/>
    <x v="0"/>
    <x v="0"/>
    <x v="2"/>
    <x v="1"/>
    <x v="7"/>
    <x v="169"/>
    <x v="0"/>
    <x v="14"/>
    <x v="0"/>
    <n v="126070"/>
  </r>
  <r>
    <s v="CSKU14517_3ES"/>
    <x v="2"/>
    <x v="0"/>
    <x v="0"/>
    <x v="8"/>
    <x v="1"/>
    <x v="7"/>
    <x v="169"/>
    <x v="0"/>
    <x v="14"/>
    <x v="0"/>
    <n v="129630"/>
  </r>
  <r>
    <s v="CSKU14518_3ES"/>
    <x v="2"/>
    <x v="0"/>
    <x v="0"/>
    <x v="9"/>
    <x v="1"/>
    <x v="7"/>
    <x v="169"/>
    <x v="0"/>
    <x v="14"/>
    <x v="0"/>
    <n v="134940"/>
  </r>
  <r>
    <s v="CSKU14372_3ES"/>
    <x v="2"/>
    <x v="0"/>
    <x v="0"/>
    <x v="2"/>
    <x v="1"/>
    <x v="7"/>
    <x v="165"/>
    <x v="0"/>
    <x v="14"/>
    <x v="0"/>
    <n v="89200"/>
  </r>
  <r>
    <s v="CSKU14373_3ES"/>
    <x v="2"/>
    <x v="0"/>
    <x v="0"/>
    <x v="8"/>
    <x v="1"/>
    <x v="7"/>
    <x v="165"/>
    <x v="0"/>
    <x v="14"/>
    <x v="0"/>
    <n v="92760"/>
  </r>
  <r>
    <s v="CSKU14374_3ES"/>
    <x v="2"/>
    <x v="0"/>
    <x v="0"/>
    <x v="9"/>
    <x v="1"/>
    <x v="7"/>
    <x v="165"/>
    <x v="0"/>
    <x v="14"/>
    <x v="0"/>
    <n v="98070"/>
  </r>
  <r>
    <s v="CSKU14375_3ES"/>
    <x v="2"/>
    <x v="0"/>
    <x v="1"/>
    <x v="2"/>
    <x v="4"/>
    <x v="7"/>
    <x v="165"/>
    <x v="1"/>
    <x v="14"/>
    <x v="0"/>
    <n v="83220"/>
  </r>
  <r>
    <s v="CSKU14376_3ES"/>
    <x v="2"/>
    <x v="0"/>
    <x v="1"/>
    <x v="2"/>
    <x v="1"/>
    <x v="7"/>
    <x v="165"/>
    <x v="1"/>
    <x v="14"/>
    <x v="0"/>
    <n v="95380"/>
  </r>
  <r>
    <s v="CSKU14377_3ES"/>
    <x v="2"/>
    <x v="0"/>
    <x v="1"/>
    <x v="8"/>
    <x v="4"/>
    <x v="7"/>
    <x v="165"/>
    <x v="1"/>
    <x v="14"/>
    <x v="0"/>
    <n v="87200"/>
  </r>
  <r>
    <s v="CSKU14405_3ES"/>
    <x v="2"/>
    <x v="0"/>
    <x v="0"/>
    <x v="2"/>
    <x v="4"/>
    <x v="7"/>
    <x v="166"/>
    <x v="0"/>
    <x v="14"/>
    <x v="0"/>
    <n v="94520"/>
  </r>
  <r>
    <s v="CSKU14406_3ES"/>
    <x v="2"/>
    <x v="0"/>
    <x v="0"/>
    <x v="8"/>
    <x v="4"/>
    <x v="7"/>
    <x v="166"/>
    <x v="0"/>
    <x v="14"/>
    <x v="0"/>
    <n v="98080"/>
  </r>
  <r>
    <s v="CSKU14407_3ES"/>
    <x v="2"/>
    <x v="0"/>
    <x v="0"/>
    <x v="9"/>
    <x v="4"/>
    <x v="7"/>
    <x v="166"/>
    <x v="0"/>
    <x v="14"/>
    <x v="0"/>
    <n v="101620"/>
  </r>
  <r>
    <s v="CSKU14408_3ES"/>
    <x v="2"/>
    <x v="0"/>
    <x v="0"/>
    <x v="2"/>
    <x v="1"/>
    <x v="7"/>
    <x v="166"/>
    <x v="0"/>
    <x v="14"/>
    <x v="0"/>
    <n v="109600"/>
  </r>
  <r>
    <s v="CSKU14409_3ES"/>
    <x v="2"/>
    <x v="0"/>
    <x v="0"/>
    <x v="8"/>
    <x v="1"/>
    <x v="7"/>
    <x v="166"/>
    <x v="0"/>
    <x v="14"/>
    <x v="0"/>
    <n v="113160"/>
  </r>
  <r>
    <s v="CSKU14410_3ES"/>
    <x v="2"/>
    <x v="0"/>
    <x v="0"/>
    <x v="9"/>
    <x v="1"/>
    <x v="7"/>
    <x v="166"/>
    <x v="0"/>
    <x v="14"/>
    <x v="0"/>
    <n v="118470"/>
  </r>
  <r>
    <s v="CSKU14441_3ES"/>
    <x v="2"/>
    <x v="0"/>
    <x v="0"/>
    <x v="2"/>
    <x v="4"/>
    <x v="7"/>
    <x v="167"/>
    <x v="0"/>
    <x v="14"/>
    <x v="0"/>
    <n v="83030"/>
  </r>
  <r>
    <s v="CSKU14442_3ES"/>
    <x v="2"/>
    <x v="0"/>
    <x v="0"/>
    <x v="8"/>
    <x v="4"/>
    <x v="7"/>
    <x v="167"/>
    <x v="0"/>
    <x v="14"/>
    <x v="0"/>
    <n v="86590"/>
  </r>
  <r>
    <s v="CSKU14261_3ES"/>
    <x v="2"/>
    <x v="0"/>
    <x v="0"/>
    <x v="2"/>
    <x v="4"/>
    <x v="7"/>
    <x v="462"/>
    <x v="0"/>
    <x v="14"/>
    <x v="0"/>
    <n v="91010"/>
  </r>
  <r>
    <s v="CSKU14262_3ES"/>
    <x v="2"/>
    <x v="0"/>
    <x v="0"/>
    <x v="8"/>
    <x v="4"/>
    <x v="7"/>
    <x v="462"/>
    <x v="0"/>
    <x v="14"/>
    <x v="0"/>
    <n v="94570"/>
  </r>
  <r>
    <s v="CSKU14263_3ES"/>
    <x v="2"/>
    <x v="0"/>
    <x v="0"/>
    <x v="9"/>
    <x v="4"/>
    <x v="7"/>
    <x v="462"/>
    <x v="0"/>
    <x v="14"/>
    <x v="0"/>
    <n v="98110"/>
  </r>
  <r>
    <s v="CSKU14298_3ES"/>
    <x v="2"/>
    <x v="0"/>
    <x v="0"/>
    <x v="8"/>
    <x v="4"/>
    <x v="7"/>
    <x v="447"/>
    <x v="0"/>
    <x v="14"/>
    <x v="0"/>
    <n v="94570"/>
  </r>
  <r>
    <s v="CSKU14299_3ES"/>
    <x v="2"/>
    <x v="0"/>
    <x v="0"/>
    <x v="9"/>
    <x v="4"/>
    <x v="7"/>
    <x v="447"/>
    <x v="0"/>
    <x v="14"/>
    <x v="0"/>
    <n v="98110"/>
  </r>
  <r>
    <s v="CSKU14300_3ES"/>
    <x v="2"/>
    <x v="0"/>
    <x v="0"/>
    <x v="2"/>
    <x v="1"/>
    <x v="7"/>
    <x v="447"/>
    <x v="0"/>
    <x v="14"/>
    <x v="0"/>
    <n v="105670"/>
  </r>
  <r>
    <s v="CSKU14301_3ES"/>
    <x v="2"/>
    <x v="0"/>
    <x v="0"/>
    <x v="8"/>
    <x v="1"/>
    <x v="7"/>
    <x v="447"/>
    <x v="0"/>
    <x v="14"/>
    <x v="0"/>
    <n v="109230"/>
  </r>
  <r>
    <s v="CSKU14302_3ES"/>
    <x v="2"/>
    <x v="0"/>
    <x v="0"/>
    <x v="9"/>
    <x v="1"/>
    <x v="7"/>
    <x v="447"/>
    <x v="0"/>
    <x v="14"/>
    <x v="0"/>
    <n v="114540"/>
  </r>
  <r>
    <s v="CSKU14303_3ES"/>
    <x v="2"/>
    <x v="0"/>
    <x v="1"/>
    <x v="2"/>
    <x v="4"/>
    <x v="7"/>
    <x v="447"/>
    <x v="1"/>
    <x v="14"/>
    <x v="0"/>
    <n v="96120"/>
  </r>
  <r>
    <s v="CSKU14304_3ES"/>
    <x v="2"/>
    <x v="0"/>
    <x v="1"/>
    <x v="2"/>
    <x v="1"/>
    <x v="7"/>
    <x v="447"/>
    <x v="1"/>
    <x v="14"/>
    <x v="0"/>
    <n v="111850"/>
  </r>
  <r>
    <s v="CSKU14305_3ES"/>
    <x v="2"/>
    <x v="0"/>
    <x v="1"/>
    <x v="8"/>
    <x v="4"/>
    <x v="7"/>
    <x v="447"/>
    <x v="1"/>
    <x v="14"/>
    <x v="0"/>
    <n v="100100"/>
  </r>
  <r>
    <s v="CSKU14196_3ES"/>
    <x v="2"/>
    <x v="0"/>
    <x v="1"/>
    <x v="2"/>
    <x v="1"/>
    <x v="7"/>
    <x v="463"/>
    <x v="1"/>
    <x v="14"/>
    <x v="0"/>
    <n v="83530"/>
  </r>
  <r>
    <s v="CSKU14197_3ES"/>
    <x v="2"/>
    <x v="0"/>
    <x v="1"/>
    <x v="8"/>
    <x v="4"/>
    <x v="7"/>
    <x v="463"/>
    <x v="1"/>
    <x v="14"/>
    <x v="0"/>
    <n v="76670"/>
  </r>
  <r>
    <s v="CSKU14198_3ES"/>
    <x v="2"/>
    <x v="0"/>
    <x v="1"/>
    <x v="8"/>
    <x v="1"/>
    <x v="7"/>
    <x v="463"/>
    <x v="1"/>
    <x v="14"/>
    <x v="0"/>
    <n v="87500"/>
  </r>
  <r>
    <s v="CSKU14199_3ES"/>
    <x v="2"/>
    <x v="0"/>
    <x v="1"/>
    <x v="9"/>
    <x v="4"/>
    <x v="7"/>
    <x v="463"/>
    <x v="1"/>
    <x v="14"/>
    <x v="0"/>
    <n v="80640"/>
  </r>
  <r>
    <s v="CSKU14200_3ES"/>
    <x v="2"/>
    <x v="0"/>
    <x v="1"/>
    <x v="9"/>
    <x v="1"/>
    <x v="7"/>
    <x v="463"/>
    <x v="1"/>
    <x v="14"/>
    <x v="0"/>
    <n v="93460"/>
  </r>
  <r>
    <s v="CSKU14264_3ES"/>
    <x v="2"/>
    <x v="0"/>
    <x v="0"/>
    <x v="2"/>
    <x v="1"/>
    <x v="7"/>
    <x v="462"/>
    <x v="0"/>
    <x v="14"/>
    <x v="0"/>
    <n v="105670"/>
  </r>
  <r>
    <s v="CSKU14306_3ES"/>
    <x v="2"/>
    <x v="0"/>
    <x v="1"/>
    <x v="8"/>
    <x v="1"/>
    <x v="7"/>
    <x v="447"/>
    <x v="1"/>
    <x v="14"/>
    <x v="0"/>
    <n v="115820"/>
  </r>
  <r>
    <s v="CSKU14225_3ES"/>
    <x v="2"/>
    <x v="0"/>
    <x v="0"/>
    <x v="2"/>
    <x v="4"/>
    <x v="7"/>
    <x v="464"/>
    <x v="0"/>
    <x v="14"/>
    <x v="0"/>
    <n v="91010"/>
  </r>
  <r>
    <s v="CSKU14226_3ES"/>
    <x v="2"/>
    <x v="0"/>
    <x v="0"/>
    <x v="8"/>
    <x v="4"/>
    <x v="7"/>
    <x v="464"/>
    <x v="0"/>
    <x v="14"/>
    <x v="0"/>
    <n v="94570"/>
  </r>
  <r>
    <s v="CSKU14227_3ES"/>
    <x v="2"/>
    <x v="0"/>
    <x v="0"/>
    <x v="9"/>
    <x v="4"/>
    <x v="7"/>
    <x v="464"/>
    <x v="0"/>
    <x v="14"/>
    <x v="0"/>
    <n v="98110"/>
  </r>
  <r>
    <s v="CSKU14228_3ES"/>
    <x v="2"/>
    <x v="0"/>
    <x v="0"/>
    <x v="2"/>
    <x v="1"/>
    <x v="7"/>
    <x v="464"/>
    <x v="0"/>
    <x v="14"/>
    <x v="0"/>
    <n v="105670"/>
  </r>
  <r>
    <s v="CSKU14229_3ES"/>
    <x v="2"/>
    <x v="0"/>
    <x v="0"/>
    <x v="8"/>
    <x v="1"/>
    <x v="7"/>
    <x v="464"/>
    <x v="0"/>
    <x v="14"/>
    <x v="0"/>
    <n v="109230"/>
  </r>
  <r>
    <s v="CSKU14230_3ES"/>
    <x v="2"/>
    <x v="0"/>
    <x v="0"/>
    <x v="9"/>
    <x v="1"/>
    <x v="7"/>
    <x v="464"/>
    <x v="0"/>
    <x v="14"/>
    <x v="0"/>
    <n v="114540"/>
  </r>
  <r>
    <s v="CSKU14265_3ES"/>
    <x v="2"/>
    <x v="0"/>
    <x v="0"/>
    <x v="8"/>
    <x v="1"/>
    <x v="7"/>
    <x v="462"/>
    <x v="0"/>
    <x v="14"/>
    <x v="0"/>
    <n v="109230"/>
  </r>
  <r>
    <s v="CSKU14266_3ES"/>
    <x v="2"/>
    <x v="0"/>
    <x v="0"/>
    <x v="9"/>
    <x v="1"/>
    <x v="7"/>
    <x v="462"/>
    <x v="0"/>
    <x v="14"/>
    <x v="0"/>
    <n v="114540"/>
  </r>
  <r>
    <s v="CSKU14267_3ES"/>
    <x v="2"/>
    <x v="0"/>
    <x v="1"/>
    <x v="2"/>
    <x v="4"/>
    <x v="7"/>
    <x v="462"/>
    <x v="1"/>
    <x v="14"/>
    <x v="0"/>
    <n v="96120"/>
  </r>
  <r>
    <s v="CSKU14268_3ES"/>
    <x v="2"/>
    <x v="0"/>
    <x v="1"/>
    <x v="2"/>
    <x v="1"/>
    <x v="7"/>
    <x v="462"/>
    <x v="1"/>
    <x v="14"/>
    <x v="0"/>
    <n v="111850"/>
  </r>
  <r>
    <s v="CSKU14269_3ES"/>
    <x v="2"/>
    <x v="0"/>
    <x v="1"/>
    <x v="8"/>
    <x v="4"/>
    <x v="7"/>
    <x v="462"/>
    <x v="1"/>
    <x v="14"/>
    <x v="0"/>
    <n v="100100"/>
  </r>
  <r>
    <s v="CSKU14270_3ES"/>
    <x v="2"/>
    <x v="0"/>
    <x v="1"/>
    <x v="8"/>
    <x v="1"/>
    <x v="7"/>
    <x v="462"/>
    <x v="1"/>
    <x v="14"/>
    <x v="0"/>
    <n v="115820"/>
  </r>
  <r>
    <s v="CSKU14271_3ES"/>
    <x v="2"/>
    <x v="0"/>
    <x v="1"/>
    <x v="9"/>
    <x v="4"/>
    <x v="7"/>
    <x v="462"/>
    <x v="1"/>
    <x v="14"/>
    <x v="0"/>
    <n v="104070"/>
  </r>
  <r>
    <s v="CSKU14272_3ES"/>
    <x v="2"/>
    <x v="0"/>
    <x v="1"/>
    <x v="9"/>
    <x v="1"/>
    <x v="7"/>
    <x v="462"/>
    <x v="1"/>
    <x v="14"/>
    <x v="0"/>
    <n v="121780"/>
  </r>
  <r>
    <s v="CSKU14307_3ES"/>
    <x v="2"/>
    <x v="0"/>
    <x v="1"/>
    <x v="9"/>
    <x v="4"/>
    <x v="7"/>
    <x v="447"/>
    <x v="1"/>
    <x v="14"/>
    <x v="0"/>
    <n v="104070"/>
  </r>
  <r>
    <s v="CSKU14308_3ES"/>
    <x v="2"/>
    <x v="0"/>
    <x v="1"/>
    <x v="9"/>
    <x v="1"/>
    <x v="7"/>
    <x v="447"/>
    <x v="1"/>
    <x v="14"/>
    <x v="0"/>
    <n v="121780"/>
  </r>
  <r>
    <s v="CSKU14693_3ES"/>
    <x v="2"/>
    <x v="0"/>
    <x v="0"/>
    <x v="2"/>
    <x v="4"/>
    <x v="7"/>
    <x v="459"/>
    <x v="0"/>
    <x v="14"/>
    <x v="0"/>
    <n v="66620"/>
  </r>
  <r>
    <s v="CSKU14694_3ES"/>
    <x v="2"/>
    <x v="0"/>
    <x v="0"/>
    <x v="8"/>
    <x v="4"/>
    <x v="7"/>
    <x v="459"/>
    <x v="0"/>
    <x v="14"/>
    <x v="0"/>
    <n v="70180"/>
  </r>
  <r>
    <s v="CSKU14695_3ES"/>
    <x v="2"/>
    <x v="0"/>
    <x v="0"/>
    <x v="9"/>
    <x v="4"/>
    <x v="7"/>
    <x v="459"/>
    <x v="0"/>
    <x v="14"/>
    <x v="0"/>
    <n v="73720"/>
  </r>
  <r>
    <s v="CSKU14696_3ES"/>
    <x v="2"/>
    <x v="0"/>
    <x v="0"/>
    <x v="2"/>
    <x v="1"/>
    <x v="7"/>
    <x v="459"/>
    <x v="0"/>
    <x v="14"/>
    <x v="0"/>
    <n v="76390"/>
  </r>
  <r>
    <s v="CSKU14697_3ES"/>
    <x v="2"/>
    <x v="0"/>
    <x v="0"/>
    <x v="8"/>
    <x v="1"/>
    <x v="7"/>
    <x v="459"/>
    <x v="0"/>
    <x v="14"/>
    <x v="0"/>
    <n v="79950"/>
  </r>
  <r>
    <s v="CSKU14698_3ES"/>
    <x v="2"/>
    <x v="0"/>
    <x v="0"/>
    <x v="9"/>
    <x v="1"/>
    <x v="7"/>
    <x v="459"/>
    <x v="0"/>
    <x v="14"/>
    <x v="0"/>
    <n v="85260"/>
  </r>
  <r>
    <s v="CSKU14699_3ES"/>
    <x v="2"/>
    <x v="0"/>
    <x v="1"/>
    <x v="2"/>
    <x v="4"/>
    <x v="7"/>
    <x v="459"/>
    <x v="1"/>
    <x v="14"/>
    <x v="0"/>
    <n v="72690"/>
  </r>
  <r>
    <s v="CSKU14700_3ES"/>
    <x v="2"/>
    <x v="0"/>
    <x v="1"/>
    <x v="2"/>
    <x v="1"/>
    <x v="7"/>
    <x v="459"/>
    <x v="1"/>
    <x v="14"/>
    <x v="0"/>
    <n v="83530"/>
  </r>
  <r>
    <s v="CSKU14701_3ES"/>
    <x v="2"/>
    <x v="0"/>
    <x v="1"/>
    <x v="8"/>
    <x v="4"/>
    <x v="7"/>
    <x v="459"/>
    <x v="1"/>
    <x v="14"/>
    <x v="0"/>
    <n v="76670"/>
  </r>
  <r>
    <s v="CSKU14737_3ES"/>
    <x v="2"/>
    <x v="0"/>
    <x v="1"/>
    <x v="8"/>
    <x v="4"/>
    <x v="7"/>
    <x v="460"/>
    <x v="1"/>
    <x v="14"/>
    <x v="0"/>
    <n v="93080"/>
  </r>
  <r>
    <s v="CSKU14738_3ES"/>
    <x v="2"/>
    <x v="0"/>
    <x v="1"/>
    <x v="8"/>
    <x v="1"/>
    <x v="7"/>
    <x v="460"/>
    <x v="1"/>
    <x v="14"/>
    <x v="0"/>
    <n v="107900"/>
  </r>
  <r>
    <s v="CSKU14739_3ES"/>
    <x v="2"/>
    <x v="0"/>
    <x v="1"/>
    <x v="9"/>
    <x v="4"/>
    <x v="7"/>
    <x v="460"/>
    <x v="1"/>
    <x v="14"/>
    <x v="0"/>
    <n v="97050"/>
  </r>
  <r>
    <s v="CSKU14740_3ES"/>
    <x v="2"/>
    <x v="0"/>
    <x v="1"/>
    <x v="9"/>
    <x v="1"/>
    <x v="7"/>
    <x v="460"/>
    <x v="1"/>
    <x v="14"/>
    <x v="0"/>
    <n v="113860"/>
  </r>
  <r>
    <s v="CSKU14088_3ES"/>
    <x v="2"/>
    <x v="0"/>
    <x v="1"/>
    <x v="2"/>
    <x v="1"/>
    <x v="7"/>
    <x v="465"/>
    <x v="1"/>
    <x v="14"/>
    <x v="0"/>
    <n v="132250"/>
  </r>
  <r>
    <s v="CSKU14089_3ES"/>
    <x v="2"/>
    <x v="0"/>
    <x v="1"/>
    <x v="8"/>
    <x v="4"/>
    <x v="7"/>
    <x v="465"/>
    <x v="1"/>
    <x v="14"/>
    <x v="0"/>
    <n v="116510"/>
  </r>
  <r>
    <s v="CSKU14090_3ES"/>
    <x v="2"/>
    <x v="0"/>
    <x v="1"/>
    <x v="8"/>
    <x v="1"/>
    <x v="7"/>
    <x v="465"/>
    <x v="1"/>
    <x v="14"/>
    <x v="0"/>
    <n v="136220"/>
  </r>
  <r>
    <s v="CSKU14091_3ES"/>
    <x v="2"/>
    <x v="0"/>
    <x v="1"/>
    <x v="9"/>
    <x v="4"/>
    <x v="7"/>
    <x v="465"/>
    <x v="1"/>
    <x v="14"/>
    <x v="0"/>
    <n v="120480"/>
  </r>
  <r>
    <s v="CSKU14092_3ES"/>
    <x v="2"/>
    <x v="0"/>
    <x v="1"/>
    <x v="9"/>
    <x v="1"/>
    <x v="7"/>
    <x v="465"/>
    <x v="1"/>
    <x v="14"/>
    <x v="0"/>
    <n v="142180"/>
  </r>
  <r>
    <s v="CSKU14051_3ES"/>
    <x v="2"/>
    <x v="0"/>
    <x v="1"/>
    <x v="2"/>
    <x v="4"/>
    <x v="7"/>
    <x v="388"/>
    <x v="1"/>
    <x v="14"/>
    <x v="0"/>
    <n v="112530"/>
  </r>
  <r>
    <s v="CSKU14052_3ES"/>
    <x v="2"/>
    <x v="0"/>
    <x v="1"/>
    <x v="2"/>
    <x v="1"/>
    <x v="7"/>
    <x v="388"/>
    <x v="1"/>
    <x v="14"/>
    <x v="0"/>
    <n v="132250"/>
  </r>
  <r>
    <s v="CSKU14053_3ES"/>
    <x v="2"/>
    <x v="0"/>
    <x v="1"/>
    <x v="8"/>
    <x v="4"/>
    <x v="7"/>
    <x v="388"/>
    <x v="1"/>
    <x v="14"/>
    <x v="0"/>
    <n v="116510"/>
  </r>
  <r>
    <s v="CSKU14054_3ES"/>
    <x v="2"/>
    <x v="0"/>
    <x v="1"/>
    <x v="8"/>
    <x v="1"/>
    <x v="7"/>
    <x v="388"/>
    <x v="1"/>
    <x v="14"/>
    <x v="0"/>
    <n v="136220"/>
  </r>
  <r>
    <s v="CSKU14055_3ES"/>
    <x v="2"/>
    <x v="0"/>
    <x v="1"/>
    <x v="9"/>
    <x v="4"/>
    <x v="7"/>
    <x v="388"/>
    <x v="1"/>
    <x v="14"/>
    <x v="0"/>
    <n v="120480"/>
  </r>
  <r>
    <s v="CSKU14056_3ES"/>
    <x v="2"/>
    <x v="0"/>
    <x v="1"/>
    <x v="9"/>
    <x v="1"/>
    <x v="7"/>
    <x v="388"/>
    <x v="1"/>
    <x v="14"/>
    <x v="0"/>
    <n v="142180"/>
  </r>
  <r>
    <s v="CSKU14081_3ES"/>
    <x v="2"/>
    <x v="0"/>
    <x v="0"/>
    <x v="2"/>
    <x v="4"/>
    <x v="7"/>
    <x v="465"/>
    <x v="0"/>
    <x v="14"/>
    <x v="0"/>
    <n v="107420"/>
  </r>
  <r>
    <s v="CSKU14082_3ES"/>
    <x v="2"/>
    <x v="0"/>
    <x v="0"/>
    <x v="8"/>
    <x v="4"/>
    <x v="7"/>
    <x v="465"/>
    <x v="0"/>
    <x v="14"/>
    <x v="0"/>
    <n v="110980"/>
  </r>
  <r>
    <s v="CSKU14083_3ES"/>
    <x v="2"/>
    <x v="0"/>
    <x v="0"/>
    <x v="9"/>
    <x v="4"/>
    <x v="7"/>
    <x v="465"/>
    <x v="0"/>
    <x v="14"/>
    <x v="0"/>
    <n v="114520"/>
  </r>
  <r>
    <s v="CSKU14084_3ES"/>
    <x v="2"/>
    <x v="0"/>
    <x v="0"/>
    <x v="2"/>
    <x v="1"/>
    <x v="7"/>
    <x v="465"/>
    <x v="0"/>
    <x v="14"/>
    <x v="0"/>
    <n v="126070"/>
  </r>
  <r>
    <s v="CSKU14085_3ES"/>
    <x v="2"/>
    <x v="0"/>
    <x v="0"/>
    <x v="8"/>
    <x v="1"/>
    <x v="7"/>
    <x v="465"/>
    <x v="0"/>
    <x v="14"/>
    <x v="0"/>
    <n v="129630"/>
  </r>
  <r>
    <s v="CSKU14086_3ES"/>
    <x v="2"/>
    <x v="0"/>
    <x v="0"/>
    <x v="9"/>
    <x v="1"/>
    <x v="7"/>
    <x v="465"/>
    <x v="0"/>
    <x v="14"/>
    <x v="0"/>
    <n v="134940"/>
  </r>
  <r>
    <s v="CSKU14123_3ES"/>
    <x v="2"/>
    <x v="0"/>
    <x v="1"/>
    <x v="2"/>
    <x v="4"/>
    <x v="7"/>
    <x v="379"/>
    <x v="1"/>
    <x v="14"/>
    <x v="0"/>
    <n v="96120"/>
  </r>
  <r>
    <s v="CSKU14124_3ES"/>
    <x v="2"/>
    <x v="0"/>
    <x v="1"/>
    <x v="2"/>
    <x v="1"/>
    <x v="7"/>
    <x v="379"/>
    <x v="1"/>
    <x v="14"/>
    <x v="0"/>
    <n v="111850"/>
  </r>
  <r>
    <s v="CSKU14125_3ES"/>
    <x v="2"/>
    <x v="0"/>
    <x v="1"/>
    <x v="8"/>
    <x v="4"/>
    <x v="7"/>
    <x v="379"/>
    <x v="1"/>
    <x v="14"/>
    <x v="0"/>
    <n v="100100"/>
  </r>
  <r>
    <s v="CSKU14126_3ES"/>
    <x v="2"/>
    <x v="0"/>
    <x v="1"/>
    <x v="8"/>
    <x v="1"/>
    <x v="7"/>
    <x v="379"/>
    <x v="1"/>
    <x v="14"/>
    <x v="0"/>
    <n v="115820"/>
  </r>
  <r>
    <s v="CSKU14127_3ES"/>
    <x v="2"/>
    <x v="0"/>
    <x v="1"/>
    <x v="9"/>
    <x v="4"/>
    <x v="7"/>
    <x v="379"/>
    <x v="1"/>
    <x v="14"/>
    <x v="0"/>
    <n v="104070"/>
  </r>
  <r>
    <s v="CSKU14128_3ES"/>
    <x v="2"/>
    <x v="0"/>
    <x v="1"/>
    <x v="9"/>
    <x v="1"/>
    <x v="7"/>
    <x v="379"/>
    <x v="1"/>
    <x v="14"/>
    <x v="0"/>
    <n v="121780"/>
  </r>
  <r>
    <s v="CSKU14153_3ES"/>
    <x v="2"/>
    <x v="0"/>
    <x v="0"/>
    <x v="2"/>
    <x v="4"/>
    <x v="7"/>
    <x v="466"/>
    <x v="0"/>
    <x v="14"/>
    <x v="0"/>
    <n v="78110"/>
  </r>
  <r>
    <s v="CSKU14154_3ES"/>
    <x v="2"/>
    <x v="0"/>
    <x v="0"/>
    <x v="8"/>
    <x v="4"/>
    <x v="7"/>
    <x v="466"/>
    <x v="0"/>
    <x v="14"/>
    <x v="0"/>
    <n v="81670"/>
  </r>
  <r>
    <s v="CSKU14155_3ES"/>
    <x v="2"/>
    <x v="0"/>
    <x v="0"/>
    <x v="9"/>
    <x v="4"/>
    <x v="7"/>
    <x v="466"/>
    <x v="0"/>
    <x v="14"/>
    <x v="0"/>
    <n v="85210"/>
  </r>
  <r>
    <s v="CSKU14156_3ES"/>
    <x v="2"/>
    <x v="0"/>
    <x v="0"/>
    <x v="2"/>
    <x v="1"/>
    <x v="7"/>
    <x v="466"/>
    <x v="0"/>
    <x v="14"/>
    <x v="0"/>
    <n v="89200"/>
  </r>
  <r>
    <s v="CSKU14157_3ES"/>
    <x v="2"/>
    <x v="0"/>
    <x v="0"/>
    <x v="8"/>
    <x v="1"/>
    <x v="7"/>
    <x v="466"/>
    <x v="0"/>
    <x v="14"/>
    <x v="0"/>
    <n v="92760"/>
  </r>
  <r>
    <s v="CSKU14158_3ES"/>
    <x v="2"/>
    <x v="0"/>
    <x v="0"/>
    <x v="9"/>
    <x v="1"/>
    <x v="7"/>
    <x v="466"/>
    <x v="0"/>
    <x v="14"/>
    <x v="0"/>
    <n v="98070"/>
  </r>
  <r>
    <s v="CSKU14159_3ES"/>
    <x v="2"/>
    <x v="0"/>
    <x v="1"/>
    <x v="2"/>
    <x v="4"/>
    <x v="7"/>
    <x v="466"/>
    <x v="1"/>
    <x v="14"/>
    <x v="0"/>
    <n v="83220"/>
  </r>
  <r>
    <s v="CSKU14160_3ES"/>
    <x v="2"/>
    <x v="0"/>
    <x v="1"/>
    <x v="2"/>
    <x v="1"/>
    <x v="7"/>
    <x v="466"/>
    <x v="1"/>
    <x v="14"/>
    <x v="0"/>
    <n v="95380"/>
  </r>
  <r>
    <s v="CSKU14161_3ES"/>
    <x v="2"/>
    <x v="0"/>
    <x v="1"/>
    <x v="8"/>
    <x v="4"/>
    <x v="7"/>
    <x v="466"/>
    <x v="1"/>
    <x v="14"/>
    <x v="0"/>
    <n v="87200"/>
  </r>
  <r>
    <s v="CSKU13976_3ES"/>
    <x v="2"/>
    <x v="0"/>
    <x v="0"/>
    <x v="2"/>
    <x v="1"/>
    <x v="7"/>
    <x v="162"/>
    <x v="0"/>
    <x v="14"/>
    <x v="0"/>
    <n v="96790"/>
  </r>
  <r>
    <s v="CSKU13977_3ES"/>
    <x v="2"/>
    <x v="0"/>
    <x v="0"/>
    <x v="8"/>
    <x v="1"/>
    <x v="7"/>
    <x v="162"/>
    <x v="0"/>
    <x v="14"/>
    <x v="0"/>
    <n v="100350"/>
  </r>
  <r>
    <s v="CSKU13978_3ES"/>
    <x v="2"/>
    <x v="0"/>
    <x v="0"/>
    <x v="9"/>
    <x v="1"/>
    <x v="7"/>
    <x v="162"/>
    <x v="0"/>
    <x v="14"/>
    <x v="0"/>
    <n v="105660"/>
  </r>
  <r>
    <s v="CSKU13979_3ES"/>
    <x v="2"/>
    <x v="0"/>
    <x v="1"/>
    <x v="2"/>
    <x v="4"/>
    <x v="7"/>
    <x v="162"/>
    <x v="1"/>
    <x v="14"/>
    <x v="0"/>
    <n v="89100"/>
  </r>
  <r>
    <s v="CSKU13980_3ES"/>
    <x v="2"/>
    <x v="0"/>
    <x v="1"/>
    <x v="2"/>
    <x v="1"/>
    <x v="7"/>
    <x v="162"/>
    <x v="1"/>
    <x v="14"/>
    <x v="0"/>
    <n v="103930"/>
  </r>
  <r>
    <s v="CSKU13981_3ES"/>
    <x v="2"/>
    <x v="0"/>
    <x v="1"/>
    <x v="8"/>
    <x v="4"/>
    <x v="7"/>
    <x v="162"/>
    <x v="1"/>
    <x v="14"/>
    <x v="0"/>
    <n v="93080"/>
  </r>
  <r>
    <s v="CSKU14369_3ES"/>
    <x v="2"/>
    <x v="0"/>
    <x v="0"/>
    <x v="2"/>
    <x v="4"/>
    <x v="7"/>
    <x v="165"/>
    <x v="0"/>
    <x v="14"/>
    <x v="0"/>
    <n v="78110"/>
  </r>
  <r>
    <s v="CSKU14370_3ES"/>
    <x v="2"/>
    <x v="0"/>
    <x v="0"/>
    <x v="8"/>
    <x v="4"/>
    <x v="7"/>
    <x v="165"/>
    <x v="0"/>
    <x v="14"/>
    <x v="0"/>
    <n v="81670"/>
  </r>
  <r>
    <s v="CSKU14371_3ES"/>
    <x v="2"/>
    <x v="0"/>
    <x v="0"/>
    <x v="9"/>
    <x v="4"/>
    <x v="7"/>
    <x v="165"/>
    <x v="0"/>
    <x v="14"/>
    <x v="0"/>
    <n v="85210"/>
  </r>
  <r>
    <s v="CSKU14009_3ES"/>
    <x v="2"/>
    <x v="0"/>
    <x v="0"/>
    <x v="2"/>
    <x v="4"/>
    <x v="7"/>
    <x v="163"/>
    <x v="0"/>
    <x v="14"/>
    <x v="0"/>
    <n v="107420"/>
  </r>
  <r>
    <s v="CSKU14010_3ES"/>
    <x v="2"/>
    <x v="0"/>
    <x v="0"/>
    <x v="8"/>
    <x v="4"/>
    <x v="7"/>
    <x v="163"/>
    <x v="0"/>
    <x v="14"/>
    <x v="0"/>
    <n v="110980"/>
  </r>
  <r>
    <s v="CSKU14011_3ES"/>
    <x v="2"/>
    <x v="0"/>
    <x v="0"/>
    <x v="9"/>
    <x v="4"/>
    <x v="7"/>
    <x v="163"/>
    <x v="0"/>
    <x v="14"/>
    <x v="0"/>
    <n v="114520"/>
  </r>
  <r>
    <s v="CSKU13869_3ES"/>
    <x v="2"/>
    <x v="0"/>
    <x v="0"/>
    <x v="8"/>
    <x v="1"/>
    <x v="7"/>
    <x v="380"/>
    <x v="0"/>
    <x v="14"/>
    <x v="0"/>
    <n v="96690"/>
  </r>
  <r>
    <s v="CSKU13870_3ES"/>
    <x v="2"/>
    <x v="0"/>
    <x v="0"/>
    <x v="9"/>
    <x v="1"/>
    <x v="7"/>
    <x v="380"/>
    <x v="0"/>
    <x v="14"/>
    <x v="0"/>
    <n v="102000"/>
  </r>
  <r>
    <s v="CSKU13871_3ES"/>
    <x v="2"/>
    <x v="0"/>
    <x v="1"/>
    <x v="2"/>
    <x v="4"/>
    <x v="7"/>
    <x v="380"/>
    <x v="1"/>
    <x v="14"/>
    <x v="0"/>
    <n v="86730"/>
  </r>
  <r>
    <s v="CSKU13872_3ES"/>
    <x v="2"/>
    <x v="0"/>
    <x v="1"/>
    <x v="2"/>
    <x v="1"/>
    <x v="7"/>
    <x v="380"/>
    <x v="1"/>
    <x v="14"/>
    <x v="0"/>
    <n v="99310"/>
  </r>
  <r>
    <s v="CSKU13873_3ES"/>
    <x v="2"/>
    <x v="0"/>
    <x v="1"/>
    <x v="8"/>
    <x v="4"/>
    <x v="7"/>
    <x v="380"/>
    <x v="1"/>
    <x v="14"/>
    <x v="0"/>
    <n v="90710"/>
  </r>
  <r>
    <s v="CSKU13874_3ES"/>
    <x v="2"/>
    <x v="0"/>
    <x v="1"/>
    <x v="8"/>
    <x v="1"/>
    <x v="7"/>
    <x v="380"/>
    <x v="1"/>
    <x v="14"/>
    <x v="0"/>
    <n v="103280"/>
  </r>
  <r>
    <s v="CSKU13875_3ES"/>
    <x v="2"/>
    <x v="0"/>
    <x v="1"/>
    <x v="9"/>
    <x v="4"/>
    <x v="7"/>
    <x v="380"/>
    <x v="1"/>
    <x v="14"/>
    <x v="0"/>
    <n v="94680"/>
  </r>
  <r>
    <s v="CSKU13876_3ES"/>
    <x v="2"/>
    <x v="0"/>
    <x v="1"/>
    <x v="9"/>
    <x v="1"/>
    <x v="7"/>
    <x v="380"/>
    <x v="1"/>
    <x v="14"/>
    <x v="0"/>
    <n v="109240"/>
  </r>
  <r>
    <s v="CSKU13901_3ES"/>
    <x v="2"/>
    <x v="0"/>
    <x v="0"/>
    <x v="2"/>
    <x v="4"/>
    <x v="7"/>
    <x v="467"/>
    <x v="0"/>
    <x v="14"/>
    <x v="0"/>
    <n v="94520"/>
  </r>
  <r>
    <s v="CSKU13902_3ES"/>
    <x v="2"/>
    <x v="0"/>
    <x v="0"/>
    <x v="8"/>
    <x v="4"/>
    <x v="7"/>
    <x v="467"/>
    <x v="0"/>
    <x v="14"/>
    <x v="0"/>
    <n v="98080"/>
  </r>
  <r>
    <s v="CSKU13903_3ES"/>
    <x v="2"/>
    <x v="0"/>
    <x v="0"/>
    <x v="9"/>
    <x v="4"/>
    <x v="7"/>
    <x v="467"/>
    <x v="0"/>
    <x v="14"/>
    <x v="0"/>
    <n v="101620"/>
  </r>
  <r>
    <s v="CSKU13904_3ES"/>
    <x v="2"/>
    <x v="0"/>
    <x v="0"/>
    <x v="2"/>
    <x v="1"/>
    <x v="7"/>
    <x v="467"/>
    <x v="0"/>
    <x v="14"/>
    <x v="0"/>
    <n v="109600"/>
  </r>
  <r>
    <s v="CSKU13905_3ES"/>
    <x v="2"/>
    <x v="0"/>
    <x v="0"/>
    <x v="8"/>
    <x v="1"/>
    <x v="7"/>
    <x v="467"/>
    <x v="0"/>
    <x v="14"/>
    <x v="0"/>
    <n v="113160"/>
  </r>
  <r>
    <s v="CSKU13906_3ES"/>
    <x v="2"/>
    <x v="0"/>
    <x v="0"/>
    <x v="9"/>
    <x v="1"/>
    <x v="7"/>
    <x v="467"/>
    <x v="0"/>
    <x v="14"/>
    <x v="0"/>
    <n v="118470"/>
  </r>
  <r>
    <s v="CSKU13907_3ES"/>
    <x v="2"/>
    <x v="0"/>
    <x v="1"/>
    <x v="2"/>
    <x v="4"/>
    <x v="7"/>
    <x v="467"/>
    <x v="1"/>
    <x v="14"/>
    <x v="0"/>
    <n v="99630"/>
  </r>
  <r>
    <s v="CSKU13937_3ES"/>
    <x v="2"/>
    <x v="0"/>
    <x v="0"/>
    <x v="2"/>
    <x v="4"/>
    <x v="7"/>
    <x v="468"/>
    <x v="0"/>
    <x v="14"/>
    <x v="0"/>
    <n v="91010"/>
  </r>
  <r>
    <s v="CSKU14162_3ES"/>
    <x v="2"/>
    <x v="0"/>
    <x v="1"/>
    <x v="8"/>
    <x v="1"/>
    <x v="7"/>
    <x v="466"/>
    <x v="1"/>
    <x v="14"/>
    <x v="0"/>
    <n v="99350"/>
  </r>
  <r>
    <s v="CSKU14163_3ES"/>
    <x v="2"/>
    <x v="0"/>
    <x v="1"/>
    <x v="9"/>
    <x v="4"/>
    <x v="7"/>
    <x v="466"/>
    <x v="1"/>
    <x v="14"/>
    <x v="0"/>
    <n v="91170"/>
  </r>
  <r>
    <s v="CSKU14164_3ES"/>
    <x v="2"/>
    <x v="0"/>
    <x v="1"/>
    <x v="9"/>
    <x v="1"/>
    <x v="7"/>
    <x v="466"/>
    <x v="1"/>
    <x v="14"/>
    <x v="0"/>
    <n v="105310"/>
  </r>
  <r>
    <s v="CSKU14231_3ES"/>
    <x v="2"/>
    <x v="0"/>
    <x v="1"/>
    <x v="2"/>
    <x v="4"/>
    <x v="7"/>
    <x v="464"/>
    <x v="1"/>
    <x v="14"/>
    <x v="0"/>
    <n v="96120"/>
  </r>
  <r>
    <s v="CSKU14189_3ES"/>
    <x v="2"/>
    <x v="0"/>
    <x v="0"/>
    <x v="2"/>
    <x v="4"/>
    <x v="7"/>
    <x v="463"/>
    <x v="0"/>
    <x v="14"/>
    <x v="0"/>
    <n v="66620"/>
  </r>
  <r>
    <s v="CSKU14190_3ES"/>
    <x v="2"/>
    <x v="0"/>
    <x v="0"/>
    <x v="8"/>
    <x v="4"/>
    <x v="7"/>
    <x v="463"/>
    <x v="0"/>
    <x v="14"/>
    <x v="0"/>
    <n v="70180"/>
  </r>
  <r>
    <s v="CSKU14191_3ES"/>
    <x v="2"/>
    <x v="0"/>
    <x v="0"/>
    <x v="9"/>
    <x v="4"/>
    <x v="7"/>
    <x v="463"/>
    <x v="0"/>
    <x v="14"/>
    <x v="0"/>
    <n v="73720"/>
  </r>
  <r>
    <s v="CSKU14192_3ES"/>
    <x v="2"/>
    <x v="0"/>
    <x v="0"/>
    <x v="2"/>
    <x v="1"/>
    <x v="7"/>
    <x v="463"/>
    <x v="0"/>
    <x v="14"/>
    <x v="0"/>
    <n v="76390"/>
  </r>
  <r>
    <s v="CSKU14193_3ES"/>
    <x v="2"/>
    <x v="0"/>
    <x v="0"/>
    <x v="8"/>
    <x v="1"/>
    <x v="7"/>
    <x v="463"/>
    <x v="0"/>
    <x v="14"/>
    <x v="0"/>
    <n v="79950"/>
  </r>
  <r>
    <s v="CSKU14194_3ES"/>
    <x v="2"/>
    <x v="0"/>
    <x v="0"/>
    <x v="9"/>
    <x v="1"/>
    <x v="7"/>
    <x v="463"/>
    <x v="0"/>
    <x v="14"/>
    <x v="0"/>
    <n v="85260"/>
  </r>
  <r>
    <s v="CSKU14195_3ES"/>
    <x v="2"/>
    <x v="0"/>
    <x v="1"/>
    <x v="2"/>
    <x v="4"/>
    <x v="7"/>
    <x v="463"/>
    <x v="1"/>
    <x v="14"/>
    <x v="0"/>
    <n v="72690"/>
  </r>
  <r>
    <s v="CSKU13908_3ES"/>
    <x v="2"/>
    <x v="0"/>
    <x v="1"/>
    <x v="2"/>
    <x v="1"/>
    <x v="7"/>
    <x v="467"/>
    <x v="1"/>
    <x v="14"/>
    <x v="0"/>
    <n v="115780"/>
  </r>
  <r>
    <s v="CSKU13909_3ES"/>
    <x v="2"/>
    <x v="0"/>
    <x v="1"/>
    <x v="8"/>
    <x v="4"/>
    <x v="7"/>
    <x v="467"/>
    <x v="1"/>
    <x v="14"/>
    <x v="0"/>
    <n v="103610"/>
  </r>
  <r>
    <s v="CSKU13910_3ES"/>
    <x v="2"/>
    <x v="0"/>
    <x v="1"/>
    <x v="8"/>
    <x v="1"/>
    <x v="7"/>
    <x v="467"/>
    <x v="1"/>
    <x v="14"/>
    <x v="0"/>
    <n v="119750"/>
  </r>
  <r>
    <s v="CSKU13911_3ES"/>
    <x v="2"/>
    <x v="0"/>
    <x v="1"/>
    <x v="9"/>
    <x v="4"/>
    <x v="7"/>
    <x v="467"/>
    <x v="1"/>
    <x v="14"/>
    <x v="0"/>
    <n v="107580"/>
  </r>
  <r>
    <s v="CSKU13912_3ES"/>
    <x v="2"/>
    <x v="0"/>
    <x v="1"/>
    <x v="9"/>
    <x v="1"/>
    <x v="7"/>
    <x v="467"/>
    <x v="1"/>
    <x v="14"/>
    <x v="0"/>
    <n v="125710"/>
  </r>
  <r>
    <s v="CSKU13938_3ES"/>
    <x v="2"/>
    <x v="0"/>
    <x v="0"/>
    <x v="8"/>
    <x v="4"/>
    <x v="7"/>
    <x v="468"/>
    <x v="0"/>
    <x v="14"/>
    <x v="0"/>
    <n v="94570"/>
  </r>
  <r>
    <s v="CSKU13939_3ES"/>
    <x v="2"/>
    <x v="0"/>
    <x v="0"/>
    <x v="9"/>
    <x v="4"/>
    <x v="7"/>
    <x v="468"/>
    <x v="0"/>
    <x v="14"/>
    <x v="0"/>
    <n v="98110"/>
  </r>
  <r>
    <s v="CSKU13940_3ES"/>
    <x v="2"/>
    <x v="0"/>
    <x v="0"/>
    <x v="2"/>
    <x v="1"/>
    <x v="7"/>
    <x v="468"/>
    <x v="0"/>
    <x v="14"/>
    <x v="0"/>
    <n v="105670"/>
  </r>
  <r>
    <s v="CSKU13941_3ES"/>
    <x v="2"/>
    <x v="0"/>
    <x v="0"/>
    <x v="8"/>
    <x v="1"/>
    <x v="7"/>
    <x v="468"/>
    <x v="0"/>
    <x v="14"/>
    <x v="0"/>
    <n v="109230"/>
  </r>
  <r>
    <s v="CSKU13942_3ES"/>
    <x v="2"/>
    <x v="0"/>
    <x v="0"/>
    <x v="9"/>
    <x v="1"/>
    <x v="7"/>
    <x v="468"/>
    <x v="0"/>
    <x v="14"/>
    <x v="0"/>
    <n v="114540"/>
  </r>
  <r>
    <s v="CSKU13943_3ES"/>
    <x v="2"/>
    <x v="0"/>
    <x v="1"/>
    <x v="2"/>
    <x v="4"/>
    <x v="7"/>
    <x v="468"/>
    <x v="1"/>
    <x v="14"/>
    <x v="0"/>
    <n v="96120"/>
  </r>
  <r>
    <s v="CSKU13944_3ES"/>
    <x v="2"/>
    <x v="0"/>
    <x v="1"/>
    <x v="2"/>
    <x v="1"/>
    <x v="7"/>
    <x v="468"/>
    <x v="1"/>
    <x v="14"/>
    <x v="0"/>
    <n v="111850"/>
  </r>
  <r>
    <s v="CSKU13945_3ES"/>
    <x v="2"/>
    <x v="0"/>
    <x v="1"/>
    <x v="8"/>
    <x v="4"/>
    <x v="7"/>
    <x v="468"/>
    <x v="1"/>
    <x v="14"/>
    <x v="0"/>
    <n v="100100"/>
  </r>
  <r>
    <s v="CSKU13657_3ES"/>
    <x v="2"/>
    <x v="0"/>
    <x v="1"/>
    <x v="8"/>
    <x v="4"/>
    <x v="7"/>
    <x v="384"/>
    <x v="1"/>
    <x v="14"/>
    <x v="0"/>
    <n v="87200"/>
  </r>
  <r>
    <s v="CSKU13658_3ES"/>
    <x v="2"/>
    <x v="0"/>
    <x v="1"/>
    <x v="8"/>
    <x v="1"/>
    <x v="7"/>
    <x v="384"/>
    <x v="1"/>
    <x v="14"/>
    <x v="0"/>
    <n v="99350"/>
  </r>
  <r>
    <s v="CSKU13659_3ES"/>
    <x v="2"/>
    <x v="0"/>
    <x v="1"/>
    <x v="9"/>
    <x v="4"/>
    <x v="7"/>
    <x v="384"/>
    <x v="1"/>
    <x v="14"/>
    <x v="0"/>
    <n v="91170"/>
  </r>
  <r>
    <s v="CSKU13660_3ES"/>
    <x v="2"/>
    <x v="0"/>
    <x v="1"/>
    <x v="9"/>
    <x v="1"/>
    <x v="7"/>
    <x v="384"/>
    <x v="1"/>
    <x v="14"/>
    <x v="0"/>
    <n v="105310"/>
  </r>
  <r>
    <s v="CSKU14232_3ES"/>
    <x v="2"/>
    <x v="0"/>
    <x v="1"/>
    <x v="2"/>
    <x v="1"/>
    <x v="7"/>
    <x v="464"/>
    <x v="1"/>
    <x v="14"/>
    <x v="0"/>
    <n v="111850"/>
  </r>
  <r>
    <s v="CSKU14233_3ES"/>
    <x v="2"/>
    <x v="0"/>
    <x v="1"/>
    <x v="8"/>
    <x v="4"/>
    <x v="7"/>
    <x v="464"/>
    <x v="1"/>
    <x v="14"/>
    <x v="0"/>
    <n v="100100"/>
  </r>
  <r>
    <s v="CSKU14234_3ES"/>
    <x v="2"/>
    <x v="0"/>
    <x v="1"/>
    <x v="8"/>
    <x v="1"/>
    <x v="7"/>
    <x v="464"/>
    <x v="1"/>
    <x v="14"/>
    <x v="0"/>
    <n v="115820"/>
  </r>
  <r>
    <s v="CSKU14235_3ES"/>
    <x v="2"/>
    <x v="0"/>
    <x v="1"/>
    <x v="9"/>
    <x v="4"/>
    <x v="7"/>
    <x v="464"/>
    <x v="1"/>
    <x v="14"/>
    <x v="0"/>
    <n v="104070"/>
  </r>
  <r>
    <s v="CSKU14236_3ES"/>
    <x v="2"/>
    <x v="0"/>
    <x v="1"/>
    <x v="9"/>
    <x v="1"/>
    <x v="7"/>
    <x v="464"/>
    <x v="1"/>
    <x v="14"/>
    <x v="0"/>
    <n v="121780"/>
  </r>
  <r>
    <s v="CSKU13764_3ES"/>
    <x v="2"/>
    <x v="0"/>
    <x v="1"/>
    <x v="2"/>
    <x v="1"/>
    <x v="7"/>
    <x v="469"/>
    <x v="1"/>
    <x v="14"/>
    <x v="0"/>
    <n v="115780"/>
  </r>
  <r>
    <s v="CSKU13765_3ES"/>
    <x v="2"/>
    <x v="0"/>
    <x v="1"/>
    <x v="8"/>
    <x v="4"/>
    <x v="7"/>
    <x v="469"/>
    <x v="1"/>
    <x v="14"/>
    <x v="0"/>
    <n v="103610"/>
  </r>
  <r>
    <s v="CSKU13766_3ES"/>
    <x v="2"/>
    <x v="0"/>
    <x v="1"/>
    <x v="8"/>
    <x v="1"/>
    <x v="7"/>
    <x v="469"/>
    <x v="1"/>
    <x v="14"/>
    <x v="0"/>
    <n v="119750"/>
  </r>
  <r>
    <s v="CSKU13767_3ES"/>
    <x v="2"/>
    <x v="0"/>
    <x v="1"/>
    <x v="9"/>
    <x v="4"/>
    <x v="7"/>
    <x v="469"/>
    <x v="1"/>
    <x v="14"/>
    <x v="0"/>
    <n v="107580"/>
  </r>
  <r>
    <s v="CSKU13768_3ES"/>
    <x v="2"/>
    <x v="0"/>
    <x v="1"/>
    <x v="9"/>
    <x v="1"/>
    <x v="7"/>
    <x v="469"/>
    <x v="1"/>
    <x v="14"/>
    <x v="0"/>
    <n v="125710"/>
  </r>
  <r>
    <s v="CSKU13793_3ES"/>
    <x v="2"/>
    <x v="0"/>
    <x v="0"/>
    <x v="2"/>
    <x v="4"/>
    <x v="7"/>
    <x v="160"/>
    <x v="0"/>
    <x v="14"/>
    <x v="0"/>
    <n v="94520"/>
  </r>
  <r>
    <s v="CSKU13839_3ES"/>
    <x v="2"/>
    <x v="0"/>
    <x v="1"/>
    <x v="9"/>
    <x v="4"/>
    <x v="7"/>
    <x v="161"/>
    <x v="1"/>
    <x v="14"/>
    <x v="0"/>
    <n v="107580"/>
  </r>
  <r>
    <s v="CSKU13840_3ES"/>
    <x v="2"/>
    <x v="0"/>
    <x v="1"/>
    <x v="9"/>
    <x v="1"/>
    <x v="7"/>
    <x v="161"/>
    <x v="1"/>
    <x v="14"/>
    <x v="0"/>
    <n v="125710"/>
  </r>
  <r>
    <s v="CSKU13794_3ES"/>
    <x v="2"/>
    <x v="0"/>
    <x v="0"/>
    <x v="8"/>
    <x v="4"/>
    <x v="7"/>
    <x v="160"/>
    <x v="0"/>
    <x v="14"/>
    <x v="0"/>
    <n v="98080"/>
  </r>
  <r>
    <s v="CSKU13795_3ES"/>
    <x v="2"/>
    <x v="0"/>
    <x v="0"/>
    <x v="9"/>
    <x v="4"/>
    <x v="7"/>
    <x v="160"/>
    <x v="0"/>
    <x v="14"/>
    <x v="0"/>
    <n v="101620"/>
  </r>
  <r>
    <s v="CSKU13796_3ES"/>
    <x v="2"/>
    <x v="0"/>
    <x v="0"/>
    <x v="2"/>
    <x v="1"/>
    <x v="7"/>
    <x v="160"/>
    <x v="0"/>
    <x v="14"/>
    <x v="0"/>
    <n v="109600"/>
  </r>
  <r>
    <s v="CSKU13797_3ES"/>
    <x v="2"/>
    <x v="0"/>
    <x v="0"/>
    <x v="8"/>
    <x v="1"/>
    <x v="7"/>
    <x v="160"/>
    <x v="0"/>
    <x v="14"/>
    <x v="0"/>
    <n v="113160"/>
  </r>
  <r>
    <s v="CSKU13798_3ES"/>
    <x v="2"/>
    <x v="0"/>
    <x v="0"/>
    <x v="9"/>
    <x v="1"/>
    <x v="7"/>
    <x v="160"/>
    <x v="0"/>
    <x v="14"/>
    <x v="0"/>
    <n v="118470"/>
  </r>
  <r>
    <s v="CSKU13799_3ES"/>
    <x v="2"/>
    <x v="0"/>
    <x v="1"/>
    <x v="2"/>
    <x v="4"/>
    <x v="7"/>
    <x v="160"/>
    <x v="1"/>
    <x v="14"/>
    <x v="0"/>
    <n v="99630"/>
  </r>
  <r>
    <s v="CSKU13946_3ES"/>
    <x v="2"/>
    <x v="0"/>
    <x v="1"/>
    <x v="8"/>
    <x v="1"/>
    <x v="7"/>
    <x v="468"/>
    <x v="1"/>
    <x v="14"/>
    <x v="0"/>
    <n v="115820"/>
  </r>
  <r>
    <s v="CSKU13947_3ES"/>
    <x v="2"/>
    <x v="0"/>
    <x v="1"/>
    <x v="9"/>
    <x v="4"/>
    <x v="7"/>
    <x v="468"/>
    <x v="1"/>
    <x v="14"/>
    <x v="0"/>
    <n v="104070"/>
  </r>
  <r>
    <s v="CSKU13948_3ES"/>
    <x v="2"/>
    <x v="0"/>
    <x v="1"/>
    <x v="9"/>
    <x v="1"/>
    <x v="7"/>
    <x v="468"/>
    <x v="1"/>
    <x v="14"/>
    <x v="0"/>
    <n v="121780"/>
  </r>
  <r>
    <s v="CSKU13973_3ES"/>
    <x v="2"/>
    <x v="0"/>
    <x v="0"/>
    <x v="2"/>
    <x v="4"/>
    <x v="7"/>
    <x v="162"/>
    <x v="0"/>
    <x v="14"/>
    <x v="0"/>
    <n v="83030"/>
  </r>
  <r>
    <s v="CSKU13974_3ES"/>
    <x v="2"/>
    <x v="0"/>
    <x v="0"/>
    <x v="8"/>
    <x v="4"/>
    <x v="7"/>
    <x v="162"/>
    <x v="0"/>
    <x v="14"/>
    <x v="0"/>
    <n v="86590"/>
  </r>
  <r>
    <s v="CSKU13975_3ES"/>
    <x v="2"/>
    <x v="0"/>
    <x v="0"/>
    <x v="9"/>
    <x v="4"/>
    <x v="7"/>
    <x v="162"/>
    <x v="0"/>
    <x v="14"/>
    <x v="0"/>
    <n v="90130"/>
  </r>
  <r>
    <s v="CSKU13515_2ES"/>
    <x v="2"/>
    <x v="1"/>
    <x v="1"/>
    <x v="7"/>
    <x v="4"/>
    <x v="7"/>
    <x v="446"/>
    <x v="1"/>
    <x v="9"/>
    <x v="0"/>
    <n v="84960"/>
  </r>
  <r>
    <s v="CSKU13516_2ES"/>
    <x v="2"/>
    <x v="1"/>
    <x v="1"/>
    <x v="7"/>
    <x v="1"/>
    <x v="7"/>
    <x v="446"/>
    <x v="1"/>
    <x v="9"/>
    <x v="0"/>
    <n v="99420"/>
  </r>
  <r>
    <s v="CSKU13613_3ES"/>
    <x v="2"/>
    <x v="0"/>
    <x v="0"/>
    <x v="2"/>
    <x v="4"/>
    <x v="7"/>
    <x v="470"/>
    <x v="0"/>
    <x v="14"/>
    <x v="0"/>
    <n v="94520"/>
  </r>
  <r>
    <s v="CSKU13614_3ES"/>
    <x v="2"/>
    <x v="0"/>
    <x v="0"/>
    <x v="8"/>
    <x v="4"/>
    <x v="7"/>
    <x v="470"/>
    <x v="0"/>
    <x v="14"/>
    <x v="0"/>
    <n v="98080"/>
  </r>
  <r>
    <s v="CSKU13615_3ES"/>
    <x v="2"/>
    <x v="0"/>
    <x v="0"/>
    <x v="9"/>
    <x v="4"/>
    <x v="7"/>
    <x v="470"/>
    <x v="0"/>
    <x v="14"/>
    <x v="0"/>
    <n v="101620"/>
  </r>
  <r>
    <s v="CSKU13616_3ES"/>
    <x v="2"/>
    <x v="0"/>
    <x v="0"/>
    <x v="2"/>
    <x v="1"/>
    <x v="7"/>
    <x v="470"/>
    <x v="0"/>
    <x v="14"/>
    <x v="0"/>
    <n v="109600"/>
  </r>
  <r>
    <s v="CSKU13685_3ES"/>
    <x v="2"/>
    <x v="0"/>
    <x v="0"/>
    <x v="2"/>
    <x v="4"/>
    <x v="7"/>
    <x v="158"/>
    <x v="0"/>
    <x v="14"/>
    <x v="0"/>
    <n v="70130"/>
  </r>
  <r>
    <s v="CSKU13686_3ES"/>
    <x v="2"/>
    <x v="0"/>
    <x v="0"/>
    <x v="8"/>
    <x v="4"/>
    <x v="7"/>
    <x v="158"/>
    <x v="0"/>
    <x v="14"/>
    <x v="0"/>
    <n v="73690"/>
  </r>
  <r>
    <s v="CSKU13687_3ES"/>
    <x v="2"/>
    <x v="0"/>
    <x v="0"/>
    <x v="9"/>
    <x v="4"/>
    <x v="7"/>
    <x v="158"/>
    <x v="0"/>
    <x v="14"/>
    <x v="0"/>
    <n v="77230"/>
  </r>
  <r>
    <s v="CSKU13688_3ES"/>
    <x v="2"/>
    <x v="0"/>
    <x v="0"/>
    <x v="2"/>
    <x v="1"/>
    <x v="7"/>
    <x v="158"/>
    <x v="0"/>
    <x v="14"/>
    <x v="0"/>
    <n v="80320"/>
  </r>
  <r>
    <s v="CSKU13721_3ES"/>
    <x v="2"/>
    <x v="0"/>
    <x v="0"/>
    <x v="2"/>
    <x v="4"/>
    <x v="7"/>
    <x v="159"/>
    <x v="0"/>
    <x v="14"/>
    <x v="0"/>
    <n v="94520"/>
  </r>
  <r>
    <s v="CSKU13722_3ES"/>
    <x v="2"/>
    <x v="0"/>
    <x v="0"/>
    <x v="8"/>
    <x v="4"/>
    <x v="7"/>
    <x v="159"/>
    <x v="0"/>
    <x v="14"/>
    <x v="0"/>
    <n v="98080"/>
  </r>
  <r>
    <s v="CSKU13723_3ES"/>
    <x v="2"/>
    <x v="0"/>
    <x v="0"/>
    <x v="9"/>
    <x v="4"/>
    <x v="7"/>
    <x v="159"/>
    <x v="0"/>
    <x v="14"/>
    <x v="0"/>
    <n v="101620"/>
  </r>
  <r>
    <s v="CSKU13724_3ES"/>
    <x v="2"/>
    <x v="0"/>
    <x v="0"/>
    <x v="2"/>
    <x v="1"/>
    <x v="7"/>
    <x v="159"/>
    <x v="0"/>
    <x v="14"/>
    <x v="0"/>
    <n v="109600"/>
  </r>
  <r>
    <s v="CSKU13725_3ES"/>
    <x v="2"/>
    <x v="0"/>
    <x v="0"/>
    <x v="8"/>
    <x v="1"/>
    <x v="7"/>
    <x v="159"/>
    <x v="0"/>
    <x v="14"/>
    <x v="0"/>
    <n v="113160"/>
  </r>
  <r>
    <s v="CSKU13829_3ES"/>
    <x v="2"/>
    <x v="0"/>
    <x v="0"/>
    <x v="2"/>
    <x v="4"/>
    <x v="7"/>
    <x v="161"/>
    <x v="0"/>
    <x v="14"/>
    <x v="0"/>
    <n v="94520"/>
  </r>
  <r>
    <s v="CSKU13511_2ES"/>
    <x v="2"/>
    <x v="1"/>
    <x v="1"/>
    <x v="4"/>
    <x v="4"/>
    <x v="7"/>
    <x v="446"/>
    <x v="1"/>
    <x v="9"/>
    <x v="0"/>
    <n v="77020"/>
  </r>
  <r>
    <s v="CSKU13512_2ES"/>
    <x v="2"/>
    <x v="1"/>
    <x v="1"/>
    <x v="4"/>
    <x v="1"/>
    <x v="7"/>
    <x v="446"/>
    <x v="1"/>
    <x v="9"/>
    <x v="0"/>
    <n v="91480"/>
  </r>
  <r>
    <s v="CSKU13513_2ES"/>
    <x v="2"/>
    <x v="1"/>
    <x v="1"/>
    <x v="0"/>
    <x v="4"/>
    <x v="7"/>
    <x v="446"/>
    <x v="1"/>
    <x v="9"/>
    <x v="0"/>
    <n v="80980"/>
  </r>
  <r>
    <s v="CSKU13617_3ES"/>
    <x v="2"/>
    <x v="0"/>
    <x v="0"/>
    <x v="8"/>
    <x v="1"/>
    <x v="7"/>
    <x v="470"/>
    <x v="0"/>
    <x v="14"/>
    <x v="0"/>
    <n v="113160"/>
  </r>
  <r>
    <s v="CSKU13577_3ES"/>
    <x v="2"/>
    <x v="0"/>
    <x v="0"/>
    <x v="2"/>
    <x v="4"/>
    <x v="7"/>
    <x v="471"/>
    <x v="0"/>
    <x v="14"/>
    <x v="0"/>
    <n v="94520"/>
  </r>
  <r>
    <s v="CSKU13578_3ES"/>
    <x v="2"/>
    <x v="0"/>
    <x v="0"/>
    <x v="8"/>
    <x v="4"/>
    <x v="7"/>
    <x v="471"/>
    <x v="0"/>
    <x v="14"/>
    <x v="0"/>
    <n v="98080"/>
  </r>
  <r>
    <s v="CSKU13618_3ES"/>
    <x v="2"/>
    <x v="0"/>
    <x v="0"/>
    <x v="9"/>
    <x v="1"/>
    <x v="7"/>
    <x v="470"/>
    <x v="0"/>
    <x v="14"/>
    <x v="0"/>
    <n v="118470"/>
  </r>
  <r>
    <s v="CSKU13619_3ES"/>
    <x v="2"/>
    <x v="0"/>
    <x v="1"/>
    <x v="2"/>
    <x v="4"/>
    <x v="7"/>
    <x v="470"/>
    <x v="1"/>
    <x v="14"/>
    <x v="0"/>
    <n v="99630"/>
  </r>
  <r>
    <s v="CSKU13620_3ES"/>
    <x v="2"/>
    <x v="0"/>
    <x v="1"/>
    <x v="2"/>
    <x v="1"/>
    <x v="7"/>
    <x v="470"/>
    <x v="1"/>
    <x v="14"/>
    <x v="0"/>
    <n v="115780"/>
  </r>
  <r>
    <s v="CSKU13621_3ES"/>
    <x v="2"/>
    <x v="0"/>
    <x v="1"/>
    <x v="8"/>
    <x v="4"/>
    <x v="7"/>
    <x v="470"/>
    <x v="1"/>
    <x v="14"/>
    <x v="0"/>
    <n v="103610"/>
  </r>
  <r>
    <s v="CSKU13622_3ES"/>
    <x v="2"/>
    <x v="0"/>
    <x v="1"/>
    <x v="8"/>
    <x v="1"/>
    <x v="7"/>
    <x v="470"/>
    <x v="1"/>
    <x v="14"/>
    <x v="0"/>
    <n v="119750"/>
  </r>
  <r>
    <s v="CSKU13623_3ES"/>
    <x v="2"/>
    <x v="0"/>
    <x v="1"/>
    <x v="9"/>
    <x v="4"/>
    <x v="7"/>
    <x v="470"/>
    <x v="1"/>
    <x v="14"/>
    <x v="0"/>
    <n v="107580"/>
  </r>
  <r>
    <s v="CSKU13624_3ES"/>
    <x v="2"/>
    <x v="0"/>
    <x v="1"/>
    <x v="9"/>
    <x v="1"/>
    <x v="7"/>
    <x v="470"/>
    <x v="1"/>
    <x v="14"/>
    <x v="0"/>
    <n v="125710"/>
  </r>
  <r>
    <s v="CSKU13726_3ES"/>
    <x v="2"/>
    <x v="0"/>
    <x v="0"/>
    <x v="9"/>
    <x v="1"/>
    <x v="7"/>
    <x v="159"/>
    <x v="0"/>
    <x v="14"/>
    <x v="0"/>
    <n v="118470"/>
  </r>
  <r>
    <s v="CSKU13727_3ES"/>
    <x v="2"/>
    <x v="0"/>
    <x v="1"/>
    <x v="2"/>
    <x v="4"/>
    <x v="7"/>
    <x v="159"/>
    <x v="1"/>
    <x v="14"/>
    <x v="0"/>
    <n v="99630"/>
  </r>
  <r>
    <s v="CSKU13728_3ES"/>
    <x v="2"/>
    <x v="0"/>
    <x v="1"/>
    <x v="2"/>
    <x v="1"/>
    <x v="7"/>
    <x v="159"/>
    <x v="1"/>
    <x v="14"/>
    <x v="0"/>
    <n v="115780"/>
  </r>
  <r>
    <s v="CSKU13729_3ES"/>
    <x v="2"/>
    <x v="0"/>
    <x v="1"/>
    <x v="8"/>
    <x v="4"/>
    <x v="7"/>
    <x v="159"/>
    <x v="1"/>
    <x v="14"/>
    <x v="0"/>
    <n v="103610"/>
  </r>
  <r>
    <s v="CSKU13730_3ES"/>
    <x v="2"/>
    <x v="0"/>
    <x v="1"/>
    <x v="8"/>
    <x v="1"/>
    <x v="7"/>
    <x v="159"/>
    <x v="1"/>
    <x v="14"/>
    <x v="0"/>
    <n v="119750"/>
  </r>
  <r>
    <s v="CSKU13731_3ES"/>
    <x v="2"/>
    <x v="0"/>
    <x v="1"/>
    <x v="9"/>
    <x v="4"/>
    <x v="7"/>
    <x v="159"/>
    <x v="1"/>
    <x v="14"/>
    <x v="0"/>
    <n v="107580"/>
  </r>
  <r>
    <s v="CSKU13587_3ES"/>
    <x v="2"/>
    <x v="0"/>
    <x v="1"/>
    <x v="9"/>
    <x v="4"/>
    <x v="7"/>
    <x v="471"/>
    <x v="1"/>
    <x v="14"/>
    <x v="0"/>
    <n v="107580"/>
  </r>
  <r>
    <s v="CSKU13588_3ES"/>
    <x v="2"/>
    <x v="0"/>
    <x v="1"/>
    <x v="9"/>
    <x v="1"/>
    <x v="7"/>
    <x v="471"/>
    <x v="1"/>
    <x v="14"/>
    <x v="0"/>
    <n v="125710"/>
  </r>
  <r>
    <s v="CSKU13299_2ES"/>
    <x v="2"/>
    <x v="1"/>
    <x v="1"/>
    <x v="7"/>
    <x v="4"/>
    <x v="7"/>
    <x v="156"/>
    <x v="1"/>
    <x v="9"/>
    <x v="0"/>
    <n v="84960"/>
  </r>
  <r>
    <s v="CSKU13300_2ES"/>
    <x v="2"/>
    <x v="1"/>
    <x v="1"/>
    <x v="7"/>
    <x v="1"/>
    <x v="7"/>
    <x v="156"/>
    <x v="1"/>
    <x v="9"/>
    <x v="0"/>
    <n v="99420"/>
  </r>
  <r>
    <s v="CSKU13331_2ES"/>
    <x v="2"/>
    <x v="1"/>
    <x v="1"/>
    <x v="4"/>
    <x v="4"/>
    <x v="7"/>
    <x v="382"/>
    <x v="1"/>
    <x v="9"/>
    <x v="0"/>
    <n v="68420"/>
  </r>
  <r>
    <s v="CSKU13332_2ES"/>
    <x v="2"/>
    <x v="1"/>
    <x v="1"/>
    <x v="4"/>
    <x v="1"/>
    <x v="7"/>
    <x v="382"/>
    <x v="1"/>
    <x v="9"/>
    <x v="0"/>
    <n v="80500"/>
  </r>
  <r>
    <s v="CSKU13333_2ES"/>
    <x v="2"/>
    <x v="1"/>
    <x v="1"/>
    <x v="0"/>
    <x v="4"/>
    <x v="7"/>
    <x v="382"/>
    <x v="1"/>
    <x v="9"/>
    <x v="0"/>
    <n v="72380"/>
  </r>
  <r>
    <s v="CSKU13334_2ES"/>
    <x v="2"/>
    <x v="1"/>
    <x v="1"/>
    <x v="0"/>
    <x v="1"/>
    <x v="7"/>
    <x v="382"/>
    <x v="1"/>
    <x v="9"/>
    <x v="0"/>
    <n v="84460"/>
  </r>
  <r>
    <s v="CSKU13335_2ES"/>
    <x v="2"/>
    <x v="1"/>
    <x v="1"/>
    <x v="7"/>
    <x v="4"/>
    <x v="7"/>
    <x v="382"/>
    <x v="1"/>
    <x v="9"/>
    <x v="0"/>
    <n v="76360"/>
  </r>
  <r>
    <s v="CSKU13336_2ES"/>
    <x v="2"/>
    <x v="1"/>
    <x v="1"/>
    <x v="7"/>
    <x v="1"/>
    <x v="7"/>
    <x v="382"/>
    <x v="1"/>
    <x v="9"/>
    <x v="0"/>
    <n v="88440"/>
  </r>
  <r>
    <s v="CSKU13361_2ES"/>
    <x v="2"/>
    <x v="1"/>
    <x v="0"/>
    <x v="4"/>
    <x v="4"/>
    <x v="7"/>
    <x v="472"/>
    <x v="0"/>
    <x v="9"/>
    <x v="0"/>
    <n v="64800"/>
  </r>
  <r>
    <s v="CSKU13362_2ES"/>
    <x v="2"/>
    <x v="1"/>
    <x v="0"/>
    <x v="0"/>
    <x v="4"/>
    <x v="7"/>
    <x v="472"/>
    <x v="0"/>
    <x v="9"/>
    <x v="0"/>
    <n v="68330"/>
  </r>
  <r>
    <s v="CSKU13363_2ES"/>
    <x v="2"/>
    <x v="1"/>
    <x v="0"/>
    <x v="7"/>
    <x v="4"/>
    <x v="7"/>
    <x v="472"/>
    <x v="0"/>
    <x v="9"/>
    <x v="0"/>
    <n v="71900"/>
  </r>
  <r>
    <s v="CSKU13364_2ES"/>
    <x v="2"/>
    <x v="1"/>
    <x v="0"/>
    <x v="4"/>
    <x v="1"/>
    <x v="7"/>
    <x v="472"/>
    <x v="0"/>
    <x v="9"/>
    <x v="0"/>
    <n v="76040"/>
  </r>
  <r>
    <s v="CSKU13365_2ES"/>
    <x v="2"/>
    <x v="1"/>
    <x v="0"/>
    <x v="0"/>
    <x v="1"/>
    <x v="7"/>
    <x v="472"/>
    <x v="0"/>
    <x v="9"/>
    <x v="0"/>
    <n v="79570"/>
  </r>
  <r>
    <s v="CSKU13366_2ES"/>
    <x v="2"/>
    <x v="1"/>
    <x v="0"/>
    <x v="7"/>
    <x v="1"/>
    <x v="7"/>
    <x v="472"/>
    <x v="0"/>
    <x v="9"/>
    <x v="0"/>
    <n v="83120"/>
  </r>
  <r>
    <s v="CSKU13367_2ES"/>
    <x v="2"/>
    <x v="1"/>
    <x v="1"/>
    <x v="4"/>
    <x v="4"/>
    <x v="7"/>
    <x v="472"/>
    <x v="1"/>
    <x v="9"/>
    <x v="0"/>
    <n v="68420"/>
  </r>
  <r>
    <s v="CSKU13368_2ES"/>
    <x v="2"/>
    <x v="1"/>
    <x v="1"/>
    <x v="4"/>
    <x v="1"/>
    <x v="7"/>
    <x v="472"/>
    <x v="1"/>
    <x v="9"/>
    <x v="0"/>
    <n v="80500"/>
  </r>
  <r>
    <s v="CSKU13403_2ES"/>
    <x v="2"/>
    <x v="1"/>
    <x v="1"/>
    <x v="4"/>
    <x v="4"/>
    <x v="7"/>
    <x v="383"/>
    <x v="1"/>
    <x v="9"/>
    <x v="0"/>
    <n v="68420"/>
  </r>
  <r>
    <s v="CSKU13404_2ES"/>
    <x v="2"/>
    <x v="1"/>
    <x v="1"/>
    <x v="4"/>
    <x v="1"/>
    <x v="7"/>
    <x v="383"/>
    <x v="1"/>
    <x v="9"/>
    <x v="0"/>
    <n v="80500"/>
  </r>
  <r>
    <s v="CSKU13405_2ES"/>
    <x v="2"/>
    <x v="1"/>
    <x v="1"/>
    <x v="0"/>
    <x v="4"/>
    <x v="7"/>
    <x v="383"/>
    <x v="1"/>
    <x v="9"/>
    <x v="0"/>
    <n v="72380"/>
  </r>
  <r>
    <s v="CSKU13406_2ES"/>
    <x v="2"/>
    <x v="1"/>
    <x v="1"/>
    <x v="0"/>
    <x v="1"/>
    <x v="7"/>
    <x v="383"/>
    <x v="1"/>
    <x v="9"/>
    <x v="0"/>
    <n v="84460"/>
  </r>
  <r>
    <s v="CSKU13407_2ES"/>
    <x v="2"/>
    <x v="1"/>
    <x v="1"/>
    <x v="7"/>
    <x v="4"/>
    <x v="7"/>
    <x v="383"/>
    <x v="1"/>
    <x v="9"/>
    <x v="0"/>
    <n v="76360"/>
  </r>
  <r>
    <s v="CSKU13408_2ES"/>
    <x v="2"/>
    <x v="1"/>
    <x v="1"/>
    <x v="7"/>
    <x v="1"/>
    <x v="7"/>
    <x v="383"/>
    <x v="1"/>
    <x v="9"/>
    <x v="0"/>
    <n v="88440"/>
  </r>
  <r>
    <s v="CSKU13438_2ES"/>
    <x v="2"/>
    <x v="1"/>
    <x v="0"/>
    <x v="7"/>
    <x v="1"/>
    <x v="7"/>
    <x v="381"/>
    <x v="0"/>
    <x v="9"/>
    <x v="0"/>
    <n v="83120"/>
  </r>
  <r>
    <s v="CSKU13439_2ES"/>
    <x v="2"/>
    <x v="1"/>
    <x v="1"/>
    <x v="4"/>
    <x v="4"/>
    <x v="7"/>
    <x v="381"/>
    <x v="1"/>
    <x v="9"/>
    <x v="0"/>
    <n v="68420"/>
  </r>
  <r>
    <s v="CSKU13440_2ES"/>
    <x v="2"/>
    <x v="1"/>
    <x v="1"/>
    <x v="4"/>
    <x v="1"/>
    <x v="7"/>
    <x v="381"/>
    <x v="1"/>
    <x v="9"/>
    <x v="0"/>
    <n v="80500"/>
  </r>
  <r>
    <s v="CSKU13441_2ES"/>
    <x v="2"/>
    <x v="1"/>
    <x v="1"/>
    <x v="0"/>
    <x v="4"/>
    <x v="7"/>
    <x v="381"/>
    <x v="1"/>
    <x v="9"/>
    <x v="0"/>
    <n v="72380"/>
  </r>
  <r>
    <s v="CSKU13442_2ES"/>
    <x v="2"/>
    <x v="1"/>
    <x v="1"/>
    <x v="0"/>
    <x v="1"/>
    <x v="7"/>
    <x v="381"/>
    <x v="1"/>
    <x v="9"/>
    <x v="0"/>
    <n v="84460"/>
  </r>
  <r>
    <s v="CSKU13443_2ES"/>
    <x v="2"/>
    <x v="1"/>
    <x v="1"/>
    <x v="7"/>
    <x v="4"/>
    <x v="7"/>
    <x v="381"/>
    <x v="1"/>
    <x v="9"/>
    <x v="0"/>
    <n v="76360"/>
  </r>
  <r>
    <s v="CSKU13444_2ES"/>
    <x v="2"/>
    <x v="1"/>
    <x v="1"/>
    <x v="7"/>
    <x v="1"/>
    <x v="7"/>
    <x v="381"/>
    <x v="1"/>
    <x v="9"/>
    <x v="0"/>
    <n v="88440"/>
  </r>
  <r>
    <s v="CSKU13469_2ES"/>
    <x v="2"/>
    <x v="1"/>
    <x v="0"/>
    <x v="4"/>
    <x v="4"/>
    <x v="7"/>
    <x v="473"/>
    <x v="0"/>
    <x v="9"/>
    <x v="0"/>
    <n v="73400"/>
  </r>
  <r>
    <s v="CSKU13470_2ES"/>
    <x v="2"/>
    <x v="1"/>
    <x v="0"/>
    <x v="0"/>
    <x v="4"/>
    <x v="7"/>
    <x v="473"/>
    <x v="0"/>
    <x v="9"/>
    <x v="0"/>
    <n v="76930"/>
  </r>
  <r>
    <s v="CSKU13471_2ES"/>
    <x v="2"/>
    <x v="1"/>
    <x v="0"/>
    <x v="7"/>
    <x v="4"/>
    <x v="7"/>
    <x v="473"/>
    <x v="0"/>
    <x v="9"/>
    <x v="0"/>
    <n v="80500"/>
  </r>
  <r>
    <s v="CSKU13472_2ES"/>
    <x v="2"/>
    <x v="1"/>
    <x v="0"/>
    <x v="4"/>
    <x v="1"/>
    <x v="7"/>
    <x v="473"/>
    <x v="0"/>
    <x v="9"/>
    <x v="0"/>
    <n v="87020"/>
  </r>
  <r>
    <s v="CSKU13473_2ES"/>
    <x v="2"/>
    <x v="1"/>
    <x v="0"/>
    <x v="0"/>
    <x v="1"/>
    <x v="7"/>
    <x v="473"/>
    <x v="0"/>
    <x v="9"/>
    <x v="0"/>
    <n v="90550"/>
  </r>
  <r>
    <s v="CSKU13474_2ES"/>
    <x v="2"/>
    <x v="1"/>
    <x v="0"/>
    <x v="7"/>
    <x v="1"/>
    <x v="7"/>
    <x v="473"/>
    <x v="0"/>
    <x v="9"/>
    <x v="0"/>
    <n v="94100"/>
  </r>
  <r>
    <s v="CSKU13475_2ES"/>
    <x v="2"/>
    <x v="1"/>
    <x v="1"/>
    <x v="4"/>
    <x v="4"/>
    <x v="7"/>
    <x v="473"/>
    <x v="1"/>
    <x v="9"/>
    <x v="0"/>
    <n v="77020"/>
  </r>
  <r>
    <s v="CSKU13476_2ES"/>
    <x v="2"/>
    <x v="1"/>
    <x v="1"/>
    <x v="4"/>
    <x v="1"/>
    <x v="7"/>
    <x v="473"/>
    <x v="1"/>
    <x v="9"/>
    <x v="0"/>
    <n v="91480"/>
  </r>
  <r>
    <s v="CSKU13477_2ES"/>
    <x v="2"/>
    <x v="1"/>
    <x v="1"/>
    <x v="0"/>
    <x v="4"/>
    <x v="7"/>
    <x v="473"/>
    <x v="1"/>
    <x v="9"/>
    <x v="0"/>
    <n v="80980"/>
  </r>
  <r>
    <s v="CSKU13478_2ES"/>
    <x v="2"/>
    <x v="1"/>
    <x v="1"/>
    <x v="0"/>
    <x v="1"/>
    <x v="7"/>
    <x v="473"/>
    <x v="1"/>
    <x v="9"/>
    <x v="0"/>
    <n v="95440"/>
  </r>
  <r>
    <s v="CSKU13479_2ES"/>
    <x v="2"/>
    <x v="1"/>
    <x v="1"/>
    <x v="7"/>
    <x v="4"/>
    <x v="7"/>
    <x v="473"/>
    <x v="1"/>
    <x v="9"/>
    <x v="0"/>
    <n v="84960"/>
  </r>
  <r>
    <s v="CSKU13480_2ES"/>
    <x v="2"/>
    <x v="1"/>
    <x v="1"/>
    <x v="7"/>
    <x v="1"/>
    <x v="7"/>
    <x v="473"/>
    <x v="1"/>
    <x v="9"/>
    <x v="0"/>
    <n v="99420"/>
  </r>
  <r>
    <s v="CSKU13505_2ES"/>
    <x v="2"/>
    <x v="1"/>
    <x v="0"/>
    <x v="4"/>
    <x v="4"/>
    <x v="7"/>
    <x v="446"/>
    <x v="0"/>
    <x v="9"/>
    <x v="0"/>
    <n v="73400"/>
  </r>
  <r>
    <s v="CSKU13506_2ES"/>
    <x v="2"/>
    <x v="1"/>
    <x v="0"/>
    <x v="0"/>
    <x v="4"/>
    <x v="7"/>
    <x v="446"/>
    <x v="0"/>
    <x v="9"/>
    <x v="0"/>
    <n v="76930"/>
  </r>
  <r>
    <s v="CSKU13507_2ES"/>
    <x v="2"/>
    <x v="1"/>
    <x v="0"/>
    <x v="7"/>
    <x v="4"/>
    <x v="7"/>
    <x v="446"/>
    <x v="0"/>
    <x v="9"/>
    <x v="0"/>
    <n v="80500"/>
  </r>
  <r>
    <s v="CSKU13508_2ES"/>
    <x v="2"/>
    <x v="1"/>
    <x v="0"/>
    <x v="4"/>
    <x v="1"/>
    <x v="7"/>
    <x v="446"/>
    <x v="0"/>
    <x v="9"/>
    <x v="0"/>
    <n v="87020"/>
  </r>
  <r>
    <s v="CSKU13509_2ES"/>
    <x v="2"/>
    <x v="1"/>
    <x v="0"/>
    <x v="0"/>
    <x v="1"/>
    <x v="7"/>
    <x v="446"/>
    <x v="0"/>
    <x v="9"/>
    <x v="0"/>
    <n v="90550"/>
  </r>
  <r>
    <s v="CSKU13510_2ES"/>
    <x v="2"/>
    <x v="1"/>
    <x v="0"/>
    <x v="7"/>
    <x v="1"/>
    <x v="7"/>
    <x v="446"/>
    <x v="0"/>
    <x v="9"/>
    <x v="0"/>
    <n v="94100"/>
  </r>
  <r>
    <s v="CSKU13757_3ES"/>
    <x v="2"/>
    <x v="0"/>
    <x v="0"/>
    <x v="2"/>
    <x v="4"/>
    <x v="7"/>
    <x v="469"/>
    <x v="0"/>
    <x v="14"/>
    <x v="0"/>
    <n v="94520"/>
  </r>
  <r>
    <s v="CSKU13758_3ES"/>
    <x v="2"/>
    <x v="0"/>
    <x v="0"/>
    <x v="8"/>
    <x v="4"/>
    <x v="7"/>
    <x v="469"/>
    <x v="0"/>
    <x v="14"/>
    <x v="0"/>
    <n v="98080"/>
  </r>
  <r>
    <s v="CSKU13759_3ES"/>
    <x v="2"/>
    <x v="0"/>
    <x v="0"/>
    <x v="9"/>
    <x v="4"/>
    <x v="7"/>
    <x v="469"/>
    <x v="0"/>
    <x v="14"/>
    <x v="0"/>
    <n v="101620"/>
  </r>
  <r>
    <s v="CSKU13760_3ES"/>
    <x v="2"/>
    <x v="0"/>
    <x v="0"/>
    <x v="2"/>
    <x v="1"/>
    <x v="7"/>
    <x v="469"/>
    <x v="0"/>
    <x v="14"/>
    <x v="0"/>
    <n v="109600"/>
  </r>
  <r>
    <s v="CSKU13761_3ES"/>
    <x v="2"/>
    <x v="0"/>
    <x v="0"/>
    <x v="8"/>
    <x v="1"/>
    <x v="7"/>
    <x v="469"/>
    <x v="0"/>
    <x v="14"/>
    <x v="0"/>
    <n v="113160"/>
  </r>
  <r>
    <s v="CSKU13762_3ES"/>
    <x v="2"/>
    <x v="0"/>
    <x v="0"/>
    <x v="9"/>
    <x v="1"/>
    <x v="7"/>
    <x v="469"/>
    <x v="0"/>
    <x v="14"/>
    <x v="0"/>
    <n v="118470"/>
  </r>
  <r>
    <s v="CSKU13763_3ES"/>
    <x v="2"/>
    <x v="0"/>
    <x v="1"/>
    <x v="2"/>
    <x v="4"/>
    <x v="7"/>
    <x v="469"/>
    <x v="1"/>
    <x v="14"/>
    <x v="0"/>
    <n v="99630"/>
  </r>
  <r>
    <s v="CSKU14087_3ES"/>
    <x v="2"/>
    <x v="0"/>
    <x v="1"/>
    <x v="2"/>
    <x v="4"/>
    <x v="7"/>
    <x v="465"/>
    <x v="1"/>
    <x v="14"/>
    <x v="0"/>
    <n v="112530"/>
  </r>
  <r>
    <s v="CSKU13217_2ES"/>
    <x v="2"/>
    <x v="1"/>
    <x v="0"/>
    <x v="4"/>
    <x v="4"/>
    <x v="7"/>
    <x v="474"/>
    <x v="0"/>
    <x v="9"/>
    <x v="0"/>
    <n v="57140"/>
  </r>
  <r>
    <s v="CSKU13218_2ES"/>
    <x v="2"/>
    <x v="1"/>
    <x v="0"/>
    <x v="0"/>
    <x v="4"/>
    <x v="7"/>
    <x v="474"/>
    <x v="0"/>
    <x v="9"/>
    <x v="0"/>
    <n v="60670"/>
  </r>
  <r>
    <s v="CSKU13219_2ES"/>
    <x v="2"/>
    <x v="1"/>
    <x v="0"/>
    <x v="7"/>
    <x v="4"/>
    <x v="7"/>
    <x v="474"/>
    <x v="0"/>
    <x v="9"/>
    <x v="0"/>
    <n v="64240"/>
  </r>
  <r>
    <s v="CSKU13220_2ES"/>
    <x v="2"/>
    <x v="1"/>
    <x v="0"/>
    <x v="4"/>
    <x v="1"/>
    <x v="7"/>
    <x v="474"/>
    <x v="0"/>
    <x v="9"/>
    <x v="0"/>
    <n v="67500"/>
  </r>
  <r>
    <s v="CSKU13263_2ES"/>
    <x v="2"/>
    <x v="1"/>
    <x v="1"/>
    <x v="0"/>
    <x v="1"/>
    <x v="7"/>
    <x v="390"/>
    <x v="1"/>
    <x v="9"/>
    <x v="0"/>
    <n v="65580"/>
  </r>
  <r>
    <s v="CSKU13264_2ES"/>
    <x v="2"/>
    <x v="1"/>
    <x v="1"/>
    <x v="7"/>
    <x v="1"/>
    <x v="7"/>
    <x v="390"/>
    <x v="1"/>
    <x v="9"/>
    <x v="0"/>
    <n v="69560"/>
  </r>
  <r>
    <s v="CSKU13369_2ES"/>
    <x v="2"/>
    <x v="1"/>
    <x v="1"/>
    <x v="0"/>
    <x v="4"/>
    <x v="7"/>
    <x v="472"/>
    <x v="1"/>
    <x v="9"/>
    <x v="0"/>
    <n v="72380"/>
  </r>
  <r>
    <s v="CSKU13370_2ES"/>
    <x v="2"/>
    <x v="1"/>
    <x v="1"/>
    <x v="0"/>
    <x v="1"/>
    <x v="7"/>
    <x v="472"/>
    <x v="1"/>
    <x v="9"/>
    <x v="0"/>
    <n v="84460"/>
  </r>
  <r>
    <s v="CSKU13371_2ES"/>
    <x v="2"/>
    <x v="1"/>
    <x v="1"/>
    <x v="7"/>
    <x v="4"/>
    <x v="7"/>
    <x v="472"/>
    <x v="1"/>
    <x v="9"/>
    <x v="0"/>
    <n v="76360"/>
  </r>
  <r>
    <s v="CSKU13372_2ES"/>
    <x v="2"/>
    <x v="1"/>
    <x v="1"/>
    <x v="7"/>
    <x v="1"/>
    <x v="7"/>
    <x v="472"/>
    <x v="1"/>
    <x v="9"/>
    <x v="0"/>
    <n v="88440"/>
  </r>
  <r>
    <s v="CSKU13145_2ES"/>
    <x v="2"/>
    <x v="1"/>
    <x v="0"/>
    <x v="4"/>
    <x v="4"/>
    <x v="7"/>
    <x v="155"/>
    <x v="0"/>
    <x v="9"/>
    <x v="0"/>
    <n v="57140"/>
  </r>
  <r>
    <s v="CSKU13146_2ES"/>
    <x v="2"/>
    <x v="1"/>
    <x v="0"/>
    <x v="0"/>
    <x v="4"/>
    <x v="7"/>
    <x v="155"/>
    <x v="0"/>
    <x v="9"/>
    <x v="0"/>
    <n v="60670"/>
  </r>
  <r>
    <s v="CSKU13147_2ES"/>
    <x v="2"/>
    <x v="1"/>
    <x v="0"/>
    <x v="7"/>
    <x v="4"/>
    <x v="7"/>
    <x v="155"/>
    <x v="0"/>
    <x v="9"/>
    <x v="0"/>
    <n v="64240"/>
  </r>
  <r>
    <s v="CSKU13148_2ES"/>
    <x v="2"/>
    <x v="1"/>
    <x v="0"/>
    <x v="4"/>
    <x v="1"/>
    <x v="7"/>
    <x v="155"/>
    <x v="0"/>
    <x v="9"/>
    <x v="0"/>
    <n v="67500"/>
  </r>
  <r>
    <s v="CSKU13149_2ES"/>
    <x v="2"/>
    <x v="1"/>
    <x v="0"/>
    <x v="0"/>
    <x v="1"/>
    <x v="7"/>
    <x v="155"/>
    <x v="0"/>
    <x v="9"/>
    <x v="0"/>
    <n v="71030"/>
  </r>
  <r>
    <s v="CSKU13221_2ES"/>
    <x v="2"/>
    <x v="1"/>
    <x v="0"/>
    <x v="0"/>
    <x v="1"/>
    <x v="7"/>
    <x v="474"/>
    <x v="0"/>
    <x v="9"/>
    <x v="0"/>
    <n v="71030"/>
  </r>
  <r>
    <s v="CSKU13222_2ES"/>
    <x v="2"/>
    <x v="1"/>
    <x v="0"/>
    <x v="7"/>
    <x v="1"/>
    <x v="7"/>
    <x v="474"/>
    <x v="0"/>
    <x v="9"/>
    <x v="0"/>
    <n v="74580"/>
  </r>
  <r>
    <s v="CSKU13223_2ES"/>
    <x v="2"/>
    <x v="1"/>
    <x v="1"/>
    <x v="4"/>
    <x v="4"/>
    <x v="7"/>
    <x v="474"/>
    <x v="1"/>
    <x v="9"/>
    <x v="0"/>
    <n v="61400"/>
  </r>
  <r>
    <s v="CSKU13224_2ES"/>
    <x v="2"/>
    <x v="1"/>
    <x v="1"/>
    <x v="0"/>
    <x v="4"/>
    <x v="7"/>
    <x v="474"/>
    <x v="1"/>
    <x v="9"/>
    <x v="0"/>
    <n v="65360"/>
  </r>
  <r>
    <s v="CSKU13225_2ES"/>
    <x v="2"/>
    <x v="1"/>
    <x v="1"/>
    <x v="7"/>
    <x v="4"/>
    <x v="7"/>
    <x v="474"/>
    <x v="1"/>
    <x v="9"/>
    <x v="0"/>
    <n v="69340"/>
  </r>
  <r>
    <s v="CSKU13226_2ES"/>
    <x v="2"/>
    <x v="1"/>
    <x v="1"/>
    <x v="4"/>
    <x v="1"/>
    <x v="7"/>
    <x v="474"/>
    <x v="1"/>
    <x v="9"/>
    <x v="0"/>
    <n v="72600"/>
  </r>
  <r>
    <s v="CSKU13227_2ES"/>
    <x v="2"/>
    <x v="1"/>
    <x v="1"/>
    <x v="0"/>
    <x v="1"/>
    <x v="7"/>
    <x v="474"/>
    <x v="1"/>
    <x v="9"/>
    <x v="0"/>
    <n v="76560"/>
  </r>
  <r>
    <s v="CSKU13228_2ES"/>
    <x v="2"/>
    <x v="1"/>
    <x v="1"/>
    <x v="7"/>
    <x v="1"/>
    <x v="7"/>
    <x v="474"/>
    <x v="1"/>
    <x v="9"/>
    <x v="0"/>
    <n v="80540"/>
  </r>
  <r>
    <s v="CSKU13579_3ES"/>
    <x v="2"/>
    <x v="0"/>
    <x v="0"/>
    <x v="9"/>
    <x v="4"/>
    <x v="7"/>
    <x v="471"/>
    <x v="0"/>
    <x v="14"/>
    <x v="0"/>
    <n v="101620"/>
  </r>
  <r>
    <s v="CSKU13037_2ES"/>
    <x v="2"/>
    <x v="1"/>
    <x v="0"/>
    <x v="4"/>
    <x v="4"/>
    <x v="7"/>
    <x v="475"/>
    <x v="0"/>
    <x v="9"/>
    <x v="0"/>
    <n v="48540"/>
  </r>
  <r>
    <s v="CSKU13038_2ES"/>
    <x v="2"/>
    <x v="1"/>
    <x v="0"/>
    <x v="0"/>
    <x v="4"/>
    <x v="7"/>
    <x v="475"/>
    <x v="0"/>
    <x v="9"/>
    <x v="0"/>
    <n v="52070"/>
  </r>
  <r>
    <s v="CSKU13039_2ES"/>
    <x v="2"/>
    <x v="1"/>
    <x v="0"/>
    <x v="7"/>
    <x v="4"/>
    <x v="7"/>
    <x v="475"/>
    <x v="0"/>
    <x v="9"/>
    <x v="0"/>
    <n v="55640"/>
  </r>
  <r>
    <s v="CSKU13040_2ES"/>
    <x v="2"/>
    <x v="1"/>
    <x v="0"/>
    <x v="4"/>
    <x v="1"/>
    <x v="7"/>
    <x v="475"/>
    <x v="0"/>
    <x v="9"/>
    <x v="0"/>
    <n v="56520"/>
  </r>
  <r>
    <s v="CSKU13073_2ES"/>
    <x v="2"/>
    <x v="1"/>
    <x v="0"/>
    <x v="4"/>
    <x v="4"/>
    <x v="7"/>
    <x v="476"/>
    <x v="0"/>
    <x v="9"/>
    <x v="0"/>
    <n v="46200"/>
  </r>
  <r>
    <s v="CSKU13074_2ES"/>
    <x v="2"/>
    <x v="1"/>
    <x v="0"/>
    <x v="0"/>
    <x v="4"/>
    <x v="7"/>
    <x v="476"/>
    <x v="0"/>
    <x v="9"/>
    <x v="0"/>
    <n v="49730"/>
  </r>
  <r>
    <s v="CSKU13075_2ES"/>
    <x v="2"/>
    <x v="1"/>
    <x v="0"/>
    <x v="7"/>
    <x v="4"/>
    <x v="7"/>
    <x v="476"/>
    <x v="0"/>
    <x v="9"/>
    <x v="0"/>
    <n v="53300"/>
  </r>
  <r>
    <s v="CSKU13076_2ES"/>
    <x v="2"/>
    <x v="1"/>
    <x v="0"/>
    <x v="4"/>
    <x v="1"/>
    <x v="7"/>
    <x v="476"/>
    <x v="0"/>
    <x v="9"/>
    <x v="0"/>
    <n v="53900"/>
  </r>
  <r>
    <s v="CSKU13077_2ES"/>
    <x v="2"/>
    <x v="1"/>
    <x v="0"/>
    <x v="0"/>
    <x v="1"/>
    <x v="7"/>
    <x v="476"/>
    <x v="0"/>
    <x v="9"/>
    <x v="0"/>
    <n v="57430"/>
  </r>
  <r>
    <s v="CSKU13078_2ES"/>
    <x v="2"/>
    <x v="1"/>
    <x v="0"/>
    <x v="7"/>
    <x v="1"/>
    <x v="7"/>
    <x v="476"/>
    <x v="0"/>
    <x v="9"/>
    <x v="0"/>
    <n v="60980"/>
  </r>
  <r>
    <s v="CSKU13117_2ES"/>
    <x v="2"/>
    <x v="1"/>
    <x v="1"/>
    <x v="7"/>
    <x v="4"/>
    <x v="7"/>
    <x v="386"/>
    <x v="1"/>
    <x v="9"/>
    <x v="0"/>
    <n v="69340"/>
  </r>
  <r>
    <s v="CSKU13118_2ES"/>
    <x v="2"/>
    <x v="1"/>
    <x v="1"/>
    <x v="4"/>
    <x v="1"/>
    <x v="7"/>
    <x v="386"/>
    <x v="1"/>
    <x v="9"/>
    <x v="0"/>
    <n v="72600"/>
  </r>
  <r>
    <s v="CSKU13119_2ES"/>
    <x v="2"/>
    <x v="1"/>
    <x v="1"/>
    <x v="0"/>
    <x v="1"/>
    <x v="7"/>
    <x v="386"/>
    <x v="1"/>
    <x v="9"/>
    <x v="0"/>
    <n v="76560"/>
  </r>
  <r>
    <s v="CSKU13120_2ES"/>
    <x v="2"/>
    <x v="1"/>
    <x v="1"/>
    <x v="7"/>
    <x v="1"/>
    <x v="7"/>
    <x v="386"/>
    <x v="1"/>
    <x v="9"/>
    <x v="0"/>
    <n v="80540"/>
  </r>
  <r>
    <s v="CSKU13580_3ES"/>
    <x v="2"/>
    <x v="0"/>
    <x v="0"/>
    <x v="2"/>
    <x v="1"/>
    <x v="7"/>
    <x v="471"/>
    <x v="0"/>
    <x v="14"/>
    <x v="0"/>
    <n v="109600"/>
  </r>
  <r>
    <s v="CSKU13581_3ES"/>
    <x v="2"/>
    <x v="0"/>
    <x v="0"/>
    <x v="8"/>
    <x v="1"/>
    <x v="7"/>
    <x v="471"/>
    <x v="0"/>
    <x v="14"/>
    <x v="0"/>
    <n v="113160"/>
  </r>
  <r>
    <s v="CSKU13582_3ES"/>
    <x v="2"/>
    <x v="0"/>
    <x v="0"/>
    <x v="9"/>
    <x v="1"/>
    <x v="7"/>
    <x v="471"/>
    <x v="0"/>
    <x v="14"/>
    <x v="0"/>
    <n v="118470"/>
  </r>
  <r>
    <s v="CSKU13583_3ES"/>
    <x v="2"/>
    <x v="0"/>
    <x v="1"/>
    <x v="2"/>
    <x v="4"/>
    <x v="7"/>
    <x v="471"/>
    <x v="1"/>
    <x v="14"/>
    <x v="0"/>
    <n v="99630"/>
  </r>
  <r>
    <s v="CSKU13584_3ES"/>
    <x v="2"/>
    <x v="0"/>
    <x v="1"/>
    <x v="2"/>
    <x v="1"/>
    <x v="7"/>
    <x v="471"/>
    <x v="1"/>
    <x v="14"/>
    <x v="0"/>
    <n v="115780"/>
  </r>
  <r>
    <s v="CSKU13585_3ES"/>
    <x v="2"/>
    <x v="0"/>
    <x v="1"/>
    <x v="8"/>
    <x v="4"/>
    <x v="7"/>
    <x v="471"/>
    <x v="1"/>
    <x v="14"/>
    <x v="0"/>
    <n v="103610"/>
  </r>
  <r>
    <s v="CSKU13586_3ES"/>
    <x v="2"/>
    <x v="0"/>
    <x v="1"/>
    <x v="8"/>
    <x v="1"/>
    <x v="7"/>
    <x v="471"/>
    <x v="1"/>
    <x v="14"/>
    <x v="0"/>
    <n v="119750"/>
  </r>
  <r>
    <s v="CSKU13041_2ES"/>
    <x v="2"/>
    <x v="1"/>
    <x v="0"/>
    <x v="0"/>
    <x v="1"/>
    <x v="7"/>
    <x v="475"/>
    <x v="0"/>
    <x v="9"/>
    <x v="0"/>
    <n v="60050"/>
  </r>
  <r>
    <s v="CSKU13079_2ES"/>
    <x v="2"/>
    <x v="1"/>
    <x v="1"/>
    <x v="4"/>
    <x v="4"/>
    <x v="7"/>
    <x v="476"/>
    <x v="1"/>
    <x v="9"/>
    <x v="0"/>
    <n v="50460"/>
  </r>
  <r>
    <s v="CSKU13042_2ES"/>
    <x v="2"/>
    <x v="1"/>
    <x v="0"/>
    <x v="7"/>
    <x v="1"/>
    <x v="7"/>
    <x v="475"/>
    <x v="0"/>
    <x v="9"/>
    <x v="0"/>
    <n v="63600"/>
  </r>
  <r>
    <s v="CSKU13043_2ES"/>
    <x v="2"/>
    <x v="1"/>
    <x v="1"/>
    <x v="4"/>
    <x v="4"/>
    <x v="7"/>
    <x v="475"/>
    <x v="1"/>
    <x v="9"/>
    <x v="0"/>
    <n v="52800"/>
  </r>
  <r>
    <s v="CSKU13044_2ES"/>
    <x v="2"/>
    <x v="1"/>
    <x v="1"/>
    <x v="0"/>
    <x v="4"/>
    <x v="7"/>
    <x v="475"/>
    <x v="1"/>
    <x v="9"/>
    <x v="0"/>
    <n v="56760"/>
  </r>
  <r>
    <s v="CSKU13045_2ES"/>
    <x v="2"/>
    <x v="1"/>
    <x v="1"/>
    <x v="7"/>
    <x v="4"/>
    <x v="7"/>
    <x v="475"/>
    <x v="1"/>
    <x v="9"/>
    <x v="0"/>
    <n v="60740"/>
  </r>
  <r>
    <s v="CSKU13046_2ES"/>
    <x v="2"/>
    <x v="1"/>
    <x v="1"/>
    <x v="4"/>
    <x v="1"/>
    <x v="7"/>
    <x v="475"/>
    <x v="1"/>
    <x v="9"/>
    <x v="0"/>
    <n v="61620"/>
  </r>
  <r>
    <s v="CSKU13047_2ES"/>
    <x v="2"/>
    <x v="1"/>
    <x v="1"/>
    <x v="0"/>
    <x v="1"/>
    <x v="7"/>
    <x v="475"/>
    <x v="1"/>
    <x v="9"/>
    <x v="0"/>
    <n v="65580"/>
  </r>
  <r>
    <s v="CSKU13048_2ES"/>
    <x v="2"/>
    <x v="1"/>
    <x v="1"/>
    <x v="7"/>
    <x v="1"/>
    <x v="7"/>
    <x v="475"/>
    <x v="1"/>
    <x v="9"/>
    <x v="0"/>
    <n v="69560"/>
  </r>
  <r>
    <s v="CSKU13080_2ES"/>
    <x v="2"/>
    <x v="1"/>
    <x v="1"/>
    <x v="0"/>
    <x v="4"/>
    <x v="7"/>
    <x v="476"/>
    <x v="1"/>
    <x v="9"/>
    <x v="0"/>
    <n v="54420"/>
  </r>
  <r>
    <s v="CSKU13081_2ES"/>
    <x v="2"/>
    <x v="1"/>
    <x v="1"/>
    <x v="7"/>
    <x v="4"/>
    <x v="7"/>
    <x v="476"/>
    <x v="1"/>
    <x v="9"/>
    <x v="0"/>
    <n v="58400"/>
  </r>
  <r>
    <s v="CSKU13082_2ES"/>
    <x v="2"/>
    <x v="1"/>
    <x v="1"/>
    <x v="4"/>
    <x v="1"/>
    <x v="7"/>
    <x v="476"/>
    <x v="1"/>
    <x v="9"/>
    <x v="0"/>
    <n v="59000"/>
  </r>
  <r>
    <s v="CSKU13083_2ES"/>
    <x v="2"/>
    <x v="1"/>
    <x v="1"/>
    <x v="0"/>
    <x v="1"/>
    <x v="7"/>
    <x v="476"/>
    <x v="1"/>
    <x v="9"/>
    <x v="0"/>
    <n v="62960"/>
  </r>
  <r>
    <s v="CSKU13084_2ES"/>
    <x v="2"/>
    <x v="1"/>
    <x v="1"/>
    <x v="7"/>
    <x v="1"/>
    <x v="7"/>
    <x v="476"/>
    <x v="1"/>
    <x v="9"/>
    <x v="0"/>
    <n v="66940"/>
  </r>
  <r>
    <s v="CSKU13181_2ES"/>
    <x v="2"/>
    <x v="1"/>
    <x v="0"/>
    <x v="4"/>
    <x v="4"/>
    <x v="7"/>
    <x v="477"/>
    <x v="0"/>
    <x v="9"/>
    <x v="0"/>
    <n v="57140"/>
  </r>
  <r>
    <s v="CSKU13182_2ES"/>
    <x v="2"/>
    <x v="1"/>
    <x v="0"/>
    <x v="0"/>
    <x v="4"/>
    <x v="7"/>
    <x v="477"/>
    <x v="0"/>
    <x v="9"/>
    <x v="0"/>
    <n v="60670"/>
  </r>
  <r>
    <s v="CSKU13183_2ES"/>
    <x v="2"/>
    <x v="1"/>
    <x v="0"/>
    <x v="7"/>
    <x v="4"/>
    <x v="7"/>
    <x v="477"/>
    <x v="0"/>
    <x v="9"/>
    <x v="0"/>
    <n v="64240"/>
  </r>
  <r>
    <s v="CSKU13184_2ES"/>
    <x v="2"/>
    <x v="1"/>
    <x v="0"/>
    <x v="4"/>
    <x v="1"/>
    <x v="7"/>
    <x v="477"/>
    <x v="0"/>
    <x v="9"/>
    <x v="0"/>
    <n v="67500"/>
  </r>
  <r>
    <s v="CSKU13185_2ES"/>
    <x v="2"/>
    <x v="1"/>
    <x v="0"/>
    <x v="0"/>
    <x v="1"/>
    <x v="7"/>
    <x v="477"/>
    <x v="0"/>
    <x v="9"/>
    <x v="0"/>
    <n v="71030"/>
  </r>
  <r>
    <s v="CSKU13186_2ES"/>
    <x v="2"/>
    <x v="1"/>
    <x v="0"/>
    <x v="7"/>
    <x v="1"/>
    <x v="7"/>
    <x v="477"/>
    <x v="0"/>
    <x v="9"/>
    <x v="0"/>
    <n v="74580"/>
  </r>
  <r>
    <s v="CSKU12785_2ES"/>
    <x v="2"/>
    <x v="1"/>
    <x v="0"/>
    <x v="4"/>
    <x v="4"/>
    <x v="7"/>
    <x v="478"/>
    <x v="0"/>
    <x v="9"/>
    <x v="0"/>
    <n v="62460"/>
  </r>
  <r>
    <s v="CSKU12893_2ES"/>
    <x v="2"/>
    <x v="1"/>
    <x v="0"/>
    <x v="4"/>
    <x v="4"/>
    <x v="7"/>
    <x v="479"/>
    <x v="0"/>
    <x v="9"/>
    <x v="0"/>
    <n v="62460"/>
  </r>
  <r>
    <s v="CSKU12894_2ES"/>
    <x v="2"/>
    <x v="1"/>
    <x v="0"/>
    <x v="0"/>
    <x v="4"/>
    <x v="7"/>
    <x v="479"/>
    <x v="0"/>
    <x v="9"/>
    <x v="0"/>
    <n v="65990"/>
  </r>
  <r>
    <s v="CSKU12895_2ES"/>
    <x v="2"/>
    <x v="1"/>
    <x v="0"/>
    <x v="7"/>
    <x v="4"/>
    <x v="7"/>
    <x v="479"/>
    <x v="0"/>
    <x v="9"/>
    <x v="0"/>
    <n v="69560"/>
  </r>
  <r>
    <s v="CSKU12896_2ES"/>
    <x v="2"/>
    <x v="1"/>
    <x v="0"/>
    <x v="4"/>
    <x v="1"/>
    <x v="7"/>
    <x v="479"/>
    <x v="0"/>
    <x v="9"/>
    <x v="0"/>
    <n v="73420"/>
  </r>
  <r>
    <s v="CSKU12897_2ES"/>
    <x v="2"/>
    <x v="1"/>
    <x v="0"/>
    <x v="0"/>
    <x v="1"/>
    <x v="7"/>
    <x v="479"/>
    <x v="0"/>
    <x v="9"/>
    <x v="0"/>
    <n v="76950"/>
  </r>
  <r>
    <s v="CSKU12898_2ES"/>
    <x v="2"/>
    <x v="1"/>
    <x v="0"/>
    <x v="7"/>
    <x v="1"/>
    <x v="7"/>
    <x v="479"/>
    <x v="0"/>
    <x v="9"/>
    <x v="0"/>
    <n v="80500"/>
  </r>
  <r>
    <s v="CSKU12899_2ES"/>
    <x v="2"/>
    <x v="1"/>
    <x v="1"/>
    <x v="4"/>
    <x v="4"/>
    <x v="7"/>
    <x v="479"/>
    <x v="1"/>
    <x v="9"/>
    <x v="0"/>
    <n v="66080"/>
  </r>
  <r>
    <s v="CSKU12900_2ES"/>
    <x v="2"/>
    <x v="1"/>
    <x v="1"/>
    <x v="4"/>
    <x v="1"/>
    <x v="7"/>
    <x v="479"/>
    <x v="1"/>
    <x v="9"/>
    <x v="0"/>
    <n v="77880"/>
  </r>
  <r>
    <s v="CSKU12937_2ES"/>
    <x v="2"/>
    <x v="1"/>
    <x v="1"/>
    <x v="0"/>
    <x v="4"/>
    <x v="7"/>
    <x v="387"/>
    <x v="1"/>
    <x v="9"/>
    <x v="0"/>
    <n v="70040"/>
  </r>
  <r>
    <s v="CSKU12938_2ES"/>
    <x v="2"/>
    <x v="1"/>
    <x v="1"/>
    <x v="0"/>
    <x v="1"/>
    <x v="7"/>
    <x v="387"/>
    <x v="1"/>
    <x v="9"/>
    <x v="0"/>
    <n v="81840"/>
  </r>
  <r>
    <s v="CSKU12939_2ES"/>
    <x v="2"/>
    <x v="1"/>
    <x v="1"/>
    <x v="7"/>
    <x v="4"/>
    <x v="7"/>
    <x v="387"/>
    <x v="1"/>
    <x v="9"/>
    <x v="0"/>
    <n v="74020"/>
  </r>
  <r>
    <s v="CSKU12940_2ES"/>
    <x v="2"/>
    <x v="1"/>
    <x v="1"/>
    <x v="7"/>
    <x v="1"/>
    <x v="7"/>
    <x v="387"/>
    <x v="1"/>
    <x v="9"/>
    <x v="0"/>
    <n v="85820"/>
  </r>
  <r>
    <s v="CSKU13187_2ES"/>
    <x v="2"/>
    <x v="1"/>
    <x v="1"/>
    <x v="4"/>
    <x v="4"/>
    <x v="7"/>
    <x v="477"/>
    <x v="1"/>
    <x v="9"/>
    <x v="0"/>
    <n v="61400"/>
  </r>
  <r>
    <s v="CSKU12901_2ES"/>
    <x v="2"/>
    <x v="1"/>
    <x v="1"/>
    <x v="0"/>
    <x v="4"/>
    <x v="7"/>
    <x v="479"/>
    <x v="1"/>
    <x v="9"/>
    <x v="0"/>
    <n v="70040"/>
  </r>
  <r>
    <s v="CSKU12902_2ES"/>
    <x v="2"/>
    <x v="1"/>
    <x v="1"/>
    <x v="0"/>
    <x v="1"/>
    <x v="7"/>
    <x v="479"/>
    <x v="1"/>
    <x v="9"/>
    <x v="0"/>
    <n v="81840"/>
  </r>
  <r>
    <s v="CSKU12903_2ES"/>
    <x v="2"/>
    <x v="1"/>
    <x v="1"/>
    <x v="7"/>
    <x v="4"/>
    <x v="7"/>
    <x v="479"/>
    <x v="1"/>
    <x v="9"/>
    <x v="0"/>
    <n v="74020"/>
  </r>
  <r>
    <s v="CSKU12904_2ES"/>
    <x v="2"/>
    <x v="1"/>
    <x v="1"/>
    <x v="7"/>
    <x v="1"/>
    <x v="7"/>
    <x v="479"/>
    <x v="1"/>
    <x v="9"/>
    <x v="0"/>
    <n v="85820"/>
  </r>
  <r>
    <s v="CSKU13001_2ES"/>
    <x v="2"/>
    <x v="1"/>
    <x v="0"/>
    <x v="4"/>
    <x v="4"/>
    <x v="7"/>
    <x v="480"/>
    <x v="0"/>
    <x v="9"/>
    <x v="0"/>
    <n v="57140"/>
  </r>
  <r>
    <s v="CSKU13002_2ES"/>
    <x v="2"/>
    <x v="1"/>
    <x v="0"/>
    <x v="0"/>
    <x v="4"/>
    <x v="7"/>
    <x v="480"/>
    <x v="0"/>
    <x v="9"/>
    <x v="0"/>
    <n v="60670"/>
  </r>
  <r>
    <s v="CSKU13003_2ES"/>
    <x v="2"/>
    <x v="1"/>
    <x v="0"/>
    <x v="7"/>
    <x v="4"/>
    <x v="7"/>
    <x v="480"/>
    <x v="0"/>
    <x v="9"/>
    <x v="0"/>
    <n v="64240"/>
  </r>
  <r>
    <s v="CSKU13004_2ES"/>
    <x v="2"/>
    <x v="1"/>
    <x v="0"/>
    <x v="4"/>
    <x v="1"/>
    <x v="7"/>
    <x v="480"/>
    <x v="0"/>
    <x v="9"/>
    <x v="0"/>
    <n v="67500"/>
  </r>
  <r>
    <s v="CSKU13005_2ES"/>
    <x v="2"/>
    <x v="1"/>
    <x v="0"/>
    <x v="0"/>
    <x v="1"/>
    <x v="7"/>
    <x v="480"/>
    <x v="0"/>
    <x v="9"/>
    <x v="0"/>
    <n v="71030"/>
  </r>
  <r>
    <s v="CSKU13006_2ES"/>
    <x v="2"/>
    <x v="1"/>
    <x v="0"/>
    <x v="7"/>
    <x v="1"/>
    <x v="7"/>
    <x v="480"/>
    <x v="0"/>
    <x v="9"/>
    <x v="0"/>
    <n v="74580"/>
  </r>
  <r>
    <s v="CSKU13007_2ES"/>
    <x v="2"/>
    <x v="1"/>
    <x v="1"/>
    <x v="4"/>
    <x v="4"/>
    <x v="7"/>
    <x v="480"/>
    <x v="1"/>
    <x v="9"/>
    <x v="0"/>
    <n v="61400"/>
  </r>
  <r>
    <s v="CSKU13188_2ES"/>
    <x v="2"/>
    <x v="1"/>
    <x v="1"/>
    <x v="0"/>
    <x v="4"/>
    <x v="7"/>
    <x v="477"/>
    <x v="1"/>
    <x v="9"/>
    <x v="0"/>
    <n v="65360"/>
  </r>
  <r>
    <s v="CSKU13189_2ES"/>
    <x v="2"/>
    <x v="1"/>
    <x v="1"/>
    <x v="7"/>
    <x v="4"/>
    <x v="7"/>
    <x v="477"/>
    <x v="1"/>
    <x v="9"/>
    <x v="0"/>
    <n v="69340"/>
  </r>
  <r>
    <s v="CSKU13190_2ES"/>
    <x v="2"/>
    <x v="1"/>
    <x v="1"/>
    <x v="4"/>
    <x v="1"/>
    <x v="7"/>
    <x v="477"/>
    <x v="1"/>
    <x v="9"/>
    <x v="0"/>
    <n v="72600"/>
  </r>
  <r>
    <s v="CSKU13191_2ES"/>
    <x v="2"/>
    <x v="1"/>
    <x v="1"/>
    <x v="0"/>
    <x v="1"/>
    <x v="7"/>
    <x v="477"/>
    <x v="1"/>
    <x v="9"/>
    <x v="0"/>
    <n v="76560"/>
  </r>
  <r>
    <s v="CSKU13192_2ES"/>
    <x v="2"/>
    <x v="1"/>
    <x v="1"/>
    <x v="7"/>
    <x v="1"/>
    <x v="7"/>
    <x v="477"/>
    <x v="1"/>
    <x v="9"/>
    <x v="0"/>
    <n v="80540"/>
  </r>
  <r>
    <s v="CSKU12646_2ES"/>
    <x v="2"/>
    <x v="1"/>
    <x v="0"/>
    <x v="7"/>
    <x v="1"/>
    <x v="7"/>
    <x v="394"/>
    <x v="0"/>
    <x v="9"/>
    <x v="0"/>
    <n v="83120"/>
  </r>
  <r>
    <s v="CSKU12647_2ES"/>
    <x v="2"/>
    <x v="1"/>
    <x v="1"/>
    <x v="4"/>
    <x v="4"/>
    <x v="7"/>
    <x v="394"/>
    <x v="1"/>
    <x v="9"/>
    <x v="0"/>
    <n v="68420"/>
  </r>
  <r>
    <s v="CSKU12648_2ES"/>
    <x v="2"/>
    <x v="1"/>
    <x v="1"/>
    <x v="4"/>
    <x v="1"/>
    <x v="7"/>
    <x v="394"/>
    <x v="1"/>
    <x v="9"/>
    <x v="0"/>
    <n v="80500"/>
  </r>
  <r>
    <s v="CSKU12649_2ES"/>
    <x v="2"/>
    <x v="1"/>
    <x v="1"/>
    <x v="0"/>
    <x v="4"/>
    <x v="7"/>
    <x v="394"/>
    <x v="1"/>
    <x v="9"/>
    <x v="0"/>
    <n v="72380"/>
  </r>
  <r>
    <s v="CSKU12650_2ES"/>
    <x v="2"/>
    <x v="1"/>
    <x v="1"/>
    <x v="0"/>
    <x v="1"/>
    <x v="7"/>
    <x v="394"/>
    <x v="1"/>
    <x v="9"/>
    <x v="0"/>
    <n v="84460"/>
  </r>
  <r>
    <s v="CSKU12651_2ES"/>
    <x v="2"/>
    <x v="1"/>
    <x v="1"/>
    <x v="7"/>
    <x v="4"/>
    <x v="7"/>
    <x v="394"/>
    <x v="1"/>
    <x v="9"/>
    <x v="0"/>
    <n v="76360"/>
  </r>
  <r>
    <s v="CSKU12652_2ES"/>
    <x v="2"/>
    <x v="1"/>
    <x v="1"/>
    <x v="7"/>
    <x v="1"/>
    <x v="7"/>
    <x v="394"/>
    <x v="1"/>
    <x v="9"/>
    <x v="0"/>
    <n v="88440"/>
  </r>
  <r>
    <s v="CSKU12677_2ES"/>
    <x v="2"/>
    <x v="1"/>
    <x v="0"/>
    <x v="4"/>
    <x v="4"/>
    <x v="7"/>
    <x v="481"/>
    <x v="0"/>
    <x v="9"/>
    <x v="0"/>
    <n v="56200"/>
  </r>
  <r>
    <s v="CSKU12678_2ES"/>
    <x v="2"/>
    <x v="1"/>
    <x v="0"/>
    <x v="0"/>
    <x v="4"/>
    <x v="7"/>
    <x v="481"/>
    <x v="0"/>
    <x v="9"/>
    <x v="0"/>
    <n v="59730"/>
  </r>
  <r>
    <s v="CSKU12679_2ES"/>
    <x v="2"/>
    <x v="1"/>
    <x v="0"/>
    <x v="7"/>
    <x v="4"/>
    <x v="7"/>
    <x v="481"/>
    <x v="0"/>
    <x v="9"/>
    <x v="0"/>
    <n v="63300"/>
  </r>
  <r>
    <s v="CSKU12680_2ES"/>
    <x v="2"/>
    <x v="1"/>
    <x v="0"/>
    <x v="4"/>
    <x v="1"/>
    <x v="7"/>
    <x v="481"/>
    <x v="0"/>
    <x v="9"/>
    <x v="0"/>
    <n v="65060"/>
  </r>
  <r>
    <s v="CSKU12681_2ES"/>
    <x v="2"/>
    <x v="1"/>
    <x v="0"/>
    <x v="0"/>
    <x v="1"/>
    <x v="7"/>
    <x v="481"/>
    <x v="0"/>
    <x v="9"/>
    <x v="0"/>
    <n v="68590"/>
  </r>
  <r>
    <s v="CSKU12682_2ES"/>
    <x v="2"/>
    <x v="1"/>
    <x v="0"/>
    <x v="7"/>
    <x v="1"/>
    <x v="7"/>
    <x v="481"/>
    <x v="0"/>
    <x v="9"/>
    <x v="0"/>
    <n v="72140"/>
  </r>
  <r>
    <s v="CSKU12683_2ES"/>
    <x v="2"/>
    <x v="1"/>
    <x v="1"/>
    <x v="4"/>
    <x v="4"/>
    <x v="7"/>
    <x v="481"/>
    <x v="1"/>
    <x v="9"/>
    <x v="0"/>
    <n v="59820"/>
  </r>
  <r>
    <s v="CSKU12684_2ES"/>
    <x v="2"/>
    <x v="1"/>
    <x v="1"/>
    <x v="4"/>
    <x v="1"/>
    <x v="7"/>
    <x v="481"/>
    <x v="1"/>
    <x v="9"/>
    <x v="0"/>
    <n v="69520"/>
  </r>
  <r>
    <s v="CSKU12718_2ES"/>
    <x v="2"/>
    <x v="1"/>
    <x v="0"/>
    <x v="7"/>
    <x v="1"/>
    <x v="7"/>
    <x v="385"/>
    <x v="0"/>
    <x v="9"/>
    <x v="0"/>
    <n v="94100"/>
  </r>
  <r>
    <s v="CSKU12719_2ES"/>
    <x v="2"/>
    <x v="1"/>
    <x v="1"/>
    <x v="4"/>
    <x v="4"/>
    <x v="7"/>
    <x v="385"/>
    <x v="1"/>
    <x v="9"/>
    <x v="0"/>
    <n v="77020"/>
  </r>
  <r>
    <s v="CSKU12720_2ES"/>
    <x v="2"/>
    <x v="1"/>
    <x v="1"/>
    <x v="4"/>
    <x v="1"/>
    <x v="7"/>
    <x v="385"/>
    <x v="1"/>
    <x v="9"/>
    <x v="0"/>
    <n v="91480"/>
  </r>
  <r>
    <s v="CSKU12721_2ES"/>
    <x v="2"/>
    <x v="1"/>
    <x v="1"/>
    <x v="0"/>
    <x v="4"/>
    <x v="7"/>
    <x v="385"/>
    <x v="1"/>
    <x v="9"/>
    <x v="0"/>
    <n v="80980"/>
  </r>
  <r>
    <s v="CSKU12722_2ES"/>
    <x v="2"/>
    <x v="1"/>
    <x v="1"/>
    <x v="0"/>
    <x v="1"/>
    <x v="7"/>
    <x v="385"/>
    <x v="1"/>
    <x v="9"/>
    <x v="0"/>
    <n v="95440"/>
  </r>
  <r>
    <s v="CSKU12723_2ES"/>
    <x v="2"/>
    <x v="1"/>
    <x v="1"/>
    <x v="7"/>
    <x v="4"/>
    <x v="7"/>
    <x v="385"/>
    <x v="1"/>
    <x v="9"/>
    <x v="0"/>
    <n v="84960"/>
  </r>
  <r>
    <s v="CSKU12724_2ES"/>
    <x v="2"/>
    <x v="1"/>
    <x v="1"/>
    <x v="7"/>
    <x v="1"/>
    <x v="7"/>
    <x v="385"/>
    <x v="1"/>
    <x v="9"/>
    <x v="0"/>
    <n v="99420"/>
  </r>
  <r>
    <s v="CSKU12749_2ES"/>
    <x v="2"/>
    <x v="1"/>
    <x v="0"/>
    <x v="4"/>
    <x v="4"/>
    <x v="7"/>
    <x v="482"/>
    <x v="0"/>
    <x v="9"/>
    <x v="0"/>
    <n v="73400"/>
  </r>
  <r>
    <s v="CSKU12750_2ES"/>
    <x v="2"/>
    <x v="1"/>
    <x v="0"/>
    <x v="0"/>
    <x v="4"/>
    <x v="7"/>
    <x v="482"/>
    <x v="0"/>
    <x v="9"/>
    <x v="0"/>
    <n v="76930"/>
  </r>
  <r>
    <s v="CSKU12751_2ES"/>
    <x v="2"/>
    <x v="1"/>
    <x v="0"/>
    <x v="7"/>
    <x v="4"/>
    <x v="7"/>
    <x v="482"/>
    <x v="0"/>
    <x v="9"/>
    <x v="0"/>
    <n v="80500"/>
  </r>
  <r>
    <s v="CSKU12752_2ES"/>
    <x v="2"/>
    <x v="1"/>
    <x v="0"/>
    <x v="4"/>
    <x v="1"/>
    <x v="7"/>
    <x v="482"/>
    <x v="0"/>
    <x v="9"/>
    <x v="0"/>
    <n v="87020"/>
  </r>
  <r>
    <s v="CSKU12753_2ES"/>
    <x v="2"/>
    <x v="1"/>
    <x v="0"/>
    <x v="0"/>
    <x v="1"/>
    <x v="7"/>
    <x v="482"/>
    <x v="0"/>
    <x v="9"/>
    <x v="0"/>
    <n v="90550"/>
  </r>
  <r>
    <s v="CSKU12754_2ES"/>
    <x v="2"/>
    <x v="1"/>
    <x v="0"/>
    <x v="7"/>
    <x v="1"/>
    <x v="7"/>
    <x v="482"/>
    <x v="0"/>
    <x v="9"/>
    <x v="0"/>
    <n v="94100"/>
  </r>
  <r>
    <s v="CSKU12786_2ES"/>
    <x v="2"/>
    <x v="1"/>
    <x v="0"/>
    <x v="0"/>
    <x v="4"/>
    <x v="7"/>
    <x v="478"/>
    <x v="0"/>
    <x v="9"/>
    <x v="0"/>
    <n v="65990"/>
  </r>
  <r>
    <s v="CSKU12787_2ES"/>
    <x v="2"/>
    <x v="1"/>
    <x v="0"/>
    <x v="7"/>
    <x v="4"/>
    <x v="7"/>
    <x v="478"/>
    <x v="0"/>
    <x v="9"/>
    <x v="0"/>
    <n v="69560"/>
  </r>
  <r>
    <s v="CSKU12788_2ES"/>
    <x v="2"/>
    <x v="1"/>
    <x v="0"/>
    <x v="4"/>
    <x v="1"/>
    <x v="7"/>
    <x v="478"/>
    <x v="0"/>
    <x v="9"/>
    <x v="0"/>
    <n v="73420"/>
  </r>
  <r>
    <s v="CSKU12789_2ES"/>
    <x v="2"/>
    <x v="1"/>
    <x v="0"/>
    <x v="0"/>
    <x v="1"/>
    <x v="7"/>
    <x v="478"/>
    <x v="0"/>
    <x v="9"/>
    <x v="0"/>
    <n v="76950"/>
  </r>
  <r>
    <s v="CSKU12790_2ES"/>
    <x v="2"/>
    <x v="1"/>
    <x v="0"/>
    <x v="7"/>
    <x v="1"/>
    <x v="7"/>
    <x v="478"/>
    <x v="0"/>
    <x v="9"/>
    <x v="0"/>
    <n v="80500"/>
  </r>
  <r>
    <s v="CSKU12791_2ES"/>
    <x v="2"/>
    <x v="1"/>
    <x v="1"/>
    <x v="4"/>
    <x v="4"/>
    <x v="7"/>
    <x v="478"/>
    <x v="1"/>
    <x v="9"/>
    <x v="0"/>
    <n v="66080"/>
  </r>
  <r>
    <s v="CSKU12792_2ES"/>
    <x v="2"/>
    <x v="1"/>
    <x v="1"/>
    <x v="4"/>
    <x v="1"/>
    <x v="7"/>
    <x v="478"/>
    <x v="1"/>
    <x v="9"/>
    <x v="0"/>
    <n v="77880"/>
  </r>
  <r>
    <s v="CSKU12793_2ES"/>
    <x v="2"/>
    <x v="1"/>
    <x v="1"/>
    <x v="0"/>
    <x v="4"/>
    <x v="7"/>
    <x v="478"/>
    <x v="1"/>
    <x v="9"/>
    <x v="0"/>
    <n v="70040"/>
  </r>
  <r>
    <s v="CSKU12794_2ES"/>
    <x v="2"/>
    <x v="1"/>
    <x v="1"/>
    <x v="0"/>
    <x v="1"/>
    <x v="7"/>
    <x v="478"/>
    <x v="1"/>
    <x v="9"/>
    <x v="0"/>
    <n v="81840"/>
  </r>
  <r>
    <s v="CSKU12795_2ES"/>
    <x v="2"/>
    <x v="1"/>
    <x v="1"/>
    <x v="7"/>
    <x v="4"/>
    <x v="7"/>
    <x v="478"/>
    <x v="1"/>
    <x v="9"/>
    <x v="0"/>
    <n v="74020"/>
  </r>
  <r>
    <s v="CSKU12796_2ES"/>
    <x v="2"/>
    <x v="1"/>
    <x v="1"/>
    <x v="7"/>
    <x v="1"/>
    <x v="7"/>
    <x v="478"/>
    <x v="1"/>
    <x v="9"/>
    <x v="0"/>
    <n v="85820"/>
  </r>
  <r>
    <s v="CSKU12821_2ES"/>
    <x v="2"/>
    <x v="1"/>
    <x v="0"/>
    <x v="4"/>
    <x v="4"/>
    <x v="7"/>
    <x v="483"/>
    <x v="0"/>
    <x v="9"/>
    <x v="0"/>
    <n v="53860"/>
  </r>
  <r>
    <s v="CSKU12822_2ES"/>
    <x v="2"/>
    <x v="1"/>
    <x v="0"/>
    <x v="0"/>
    <x v="4"/>
    <x v="7"/>
    <x v="483"/>
    <x v="0"/>
    <x v="9"/>
    <x v="0"/>
    <n v="57390"/>
  </r>
  <r>
    <s v="CSKU12823_2ES"/>
    <x v="2"/>
    <x v="1"/>
    <x v="0"/>
    <x v="7"/>
    <x v="4"/>
    <x v="7"/>
    <x v="483"/>
    <x v="0"/>
    <x v="9"/>
    <x v="0"/>
    <n v="60960"/>
  </r>
  <r>
    <s v="CSKU12824_2ES"/>
    <x v="2"/>
    <x v="1"/>
    <x v="0"/>
    <x v="4"/>
    <x v="1"/>
    <x v="7"/>
    <x v="483"/>
    <x v="0"/>
    <x v="9"/>
    <x v="0"/>
    <n v="62440"/>
  </r>
  <r>
    <s v="CSKU12825_2ES"/>
    <x v="2"/>
    <x v="1"/>
    <x v="0"/>
    <x v="0"/>
    <x v="1"/>
    <x v="7"/>
    <x v="483"/>
    <x v="0"/>
    <x v="9"/>
    <x v="0"/>
    <n v="65970"/>
  </r>
  <r>
    <s v="CSKU12826_2ES"/>
    <x v="2"/>
    <x v="1"/>
    <x v="0"/>
    <x v="7"/>
    <x v="1"/>
    <x v="7"/>
    <x v="483"/>
    <x v="0"/>
    <x v="9"/>
    <x v="0"/>
    <n v="69520"/>
  </r>
  <r>
    <s v="CSKU12827_2ES"/>
    <x v="2"/>
    <x v="1"/>
    <x v="1"/>
    <x v="4"/>
    <x v="4"/>
    <x v="7"/>
    <x v="483"/>
    <x v="1"/>
    <x v="9"/>
    <x v="0"/>
    <n v="57480"/>
  </r>
  <r>
    <s v="CSKU12828_2ES"/>
    <x v="2"/>
    <x v="1"/>
    <x v="1"/>
    <x v="4"/>
    <x v="1"/>
    <x v="7"/>
    <x v="483"/>
    <x v="1"/>
    <x v="9"/>
    <x v="0"/>
    <n v="66900"/>
  </r>
  <r>
    <s v="CSKU12857_2ES"/>
    <x v="2"/>
    <x v="1"/>
    <x v="0"/>
    <x v="4"/>
    <x v="4"/>
    <x v="7"/>
    <x v="484"/>
    <x v="0"/>
    <x v="9"/>
    <x v="0"/>
    <n v="62460"/>
  </r>
  <r>
    <s v="CSKU12858_2ES"/>
    <x v="2"/>
    <x v="1"/>
    <x v="0"/>
    <x v="0"/>
    <x v="4"/>
    <x v="7"/>
    <x v="484"/>
    <x v="0"/>
    <x v="9"/>
    <x v="0"/>
    <n v="65990"/>
  </r>
  <r>
    <s v="CSKU12859_2ES"/>
    <x v="2"/>
    <x v="1"/>
    <x v="0"/>
    <x v="7"/>
    <x v="4"/>
    <x v="7"/>
    <x v="484"/>
    <x v="0"/>
    <x v="9"/>
    <x v="0"/>
    <n v="69560"/>
  </r>
  <r>
    <s v="CSKU12860_2ES"/>
    <x v="2"/>
    <x v="1"/>
    <x v="0"/>
    <x v="4"/>
    <x v="1"/>
    <x v="7"/>
    <x v="484"/>
    <x v="0"/>
    <x v="9"/>
    <x v="0"/>
    <n v="73420"/>
  </r>
  <r>
    <s v="CSKU12861_2ES"/>
    <x v="2"/>
    <x v="1"/>
    <x v="0"/>
    <x v="0"/>
    <x v="1"/>
    <x v="7"/>
    <x v="484"/>
    <x v="0"/>
    <x v="9"/>
    <x v="0"/>
    <n v="76950"/>
  </r>
  <r>
    <s v="CSKU12862_2ES"/>
    <x v="2"/>
    <x v="1"/>
    <x v="0"/>
    <x v="7"/>
    <x v="1"/>
    <x v="7"/>
    <x v="484"/>
    <x v="0"/>
    <x v="9"/>
    <x v="0"/>
    <n v="80500"/>
  </r>
  <r>
    <s v="CSKU12863_2ES"/>
    <x v="2"/>
    <x v="1"/>
    <x v="1"/>
    <x v="4"/>
    <x v="4"/>
    <x v="7"/>
    <x v="484"/>
    <x v="1"/>
    <x v="9"/>
    <x v="0"/>
    <n v="66080"/>
  </r>
  <r>
    <s v="CSKU12864_2ES"/>
    <x v="2"/>
    <x v="1"/>
    <x v="1"/>
    <x v="4"/>
    <x v="1"/>
    <x v="7"/>
    <x v="484"/>
    <x v="1"/>
    <x v="9"/>
    <x v="0"/>
    <n v="77880"/>
  </r>
  <r>
    <s v="CSKU12973_2ES"/>
    <x v="2"/>
    <x v="1"/>
    <x v="1"/>
    <x v="0"/>
    <x v="4"/>
    <x v="7"/>
    <x v="485"/>
    <x v="1"/>
    <x v="9"/>
    <x v="0"/>
    <n v="61440"/>
  </r>
  <r>
    <s v="CSKU12974_2ES"/>
    <x v="2"/>
    <x v="1"/>
    <x v="1"/>
    <x v="0"/>
    <x v="1"/>
    <x v="7"/>
    <x v="485"/>
    <x v="1"/>
    <x v="9"/>
    <x v="0"/>
    <n v="70860"/>
  </r>
  <r>
    <s v="CSKU12975_2ES"/>
    <x v="2"/>
    <x v="1"/>
    <x v="1"/>
    <x v="7"/>
    <x v="4"/>
    <x v="7"/>
    <x v="485"/>
    <x v="1"/>
    <x v="9"/>
    <x v="0"/>
    <n v="65420"/>
  </r>
  <r>
    <s v="CSKU12976_2ES"/>
    <x v="2"/>
    <x v="1"/>
    <x v="1"/>
    <x v="7"/>
    <x v="1"/>
    <x v="7"/>
    <x v="485"/>
    <x v="1"/>
    <x v="9"/>
    <x v="0"/>
    <n v="74840"/>
  </r>
  <r>
    <s v="CSKU13008_2ES"/>
    <x v="2"/>
    <x v="1"/>
    <x v="1"/>
    <x v="0"/>
    <x v="4"/>
    <x v="7"/>
    <x v="480"/>
    <x v="1"/>
    <x v="9"/>
    <x v="0"/>
    <n v="65360"/>
  </r>
  <r>
    <s v="CSKU13009_2ES"/>
    <x v="2"/>
    <x v="1"/>
    <x v="1"/>
    <x v="7"/>
    <x v="4"/>
    <x v="7"/>
    <x v="480"/>
    <x v="1"/>
    <x v="9"/>
    <x v="0"/>
    <n v="69340"/>
  </r>
  <r>
    <s v="CSKU13010_2ES"/>
    <x v="2"/>
    <x v="1"/>
    <x v="1"/>
    <x v="4"/>
    <x v="1"/>
    <x v="7"/>
    <x v="480"/>
    <x v="1"/>
    <x v="9"/>
    <x v="0"/>
    <n v="72600"/>
  </r>
  <r>
    <s v="CSKU13011_2ES"/>
    <x v="2"/>
    <x v="1"/>
    <x v="1"/>
    <x v="0"/>
    <x v="1"/>
    <x v="7"/>
    <x v="480"/>
    <x v="1"/>
    <x v="9"/>
    <x v="0"/>
    <n v="76560"/>
  </r>
  <r>
    <s v="CSKU13012_2ES"/>
    <x v="2"/>
    <x v="1"/>
    <x v="1"/>
    <x v="7"/>
    <x v="1"/>
    <x v="7"/>
    <x v="480"/>
    <x v="1"/>
    <x v="9"/>
    <x v="0"/>
    <n v="80540"/>
  </r>
  <r>
    <s v="CSKU12829_2ES"/>
    <x v="2"/>
    <x v="1"/>
    <x v="1"/>
    <x v="0"/>
    <x v="4"/>
    <x v="7"/>
    <x v="483"/>
    <x v="1"/>
    <x v="9"/>
    <x v="0"/>
    <n v="61440"/>
  </r>
  <r>
    <s v="CSKU12830_2ES"/>
    <x v="2"/>
    <x v="1"/>
    <x v="1"/>
    <x v="0"/>
    <x v="1"/>
    <x v="7"/>
    <x v="483"/>
    <x v="1"/>
    <x v="9"/>
    <x v="0"/>
    <n v="70860"/>
  </r>
  <r>
    <s v="CSKU12831_2ES"/>
    <x v="2"/>
    <x v="1"/>
    <x v="1"/>
    <x v="7"/>
    <x v="4"/>
    <x v="7"/>
    <x v="483"/>
    <x v="1"/>
    <x v="9"/>
    <x v="0"/>
    <n v="65420"/>
  </r>
  <r>
    <s v="CSKU12832_2ES"/>
    <x v="2"/>
    <x v="1"/>
    <x v="1"/>
    <x v="7"/>
    <x v="1"/>
    <x v="7"/>
    <x v="483"/>
    <x v="1"/>
    <x v="9"/>
    <x v="0"/>
    <n v="74840"/>
  </r>
  <r>
    <s v="CSKU12865_2ES"/>
    <x v="2"/>
    <x v="1"/>
    <x v="1"/>
    <x v="0"/>
    <x v="4"/>
    <x v="7"/>
    <x v="484"/>
    <x v="1"/>
    <x v="9"/>
    <x v="0"/>
    <n v="70040"/>
  </r>
  <r>
    <s v="CSKU12685_2ES"/>
    <x v="2"/>
    <x v="1"/>
    <x v="1"/>
    <x v="0"/>
    <x v="4"/>
    <x v="7"/>
    <x v="481"/>
    <x v="1"/>
    <x v="9"/>
    <x v="0"/>
    <n v="63780"/>
  </r>
  <r>
    <s v="CSKU12580_2ES"/>
    <x v="2"/>
    <x v="1"/>
    <x v="1"/>
    <x v="7"/>
    <x v="1"/>
    <x v="7"/>
    <x v="154"/>
    <x v="1"/>
    <x v="9"/>
    <x v="0"/>
    <n v="88440"/>
  </r>
  <r>
    <s v="CSKU12686_2ES"/>
    <x v="2"/>
    <x v="1"/>
    <x v="1"/>
    <x v="0"/>
    <x v="1"/>
    <x v="7"/>
    <x v="481"/>
    <x v="1"/>
    <x v="9"/>
    <x v="0"/>
    <n v="73480"/>
  </r>
  <r>
    <s v="CSKU12687_2ES"/>
    <x v="2"/>
    <x v="1"/>
    <x v="1"/>
    <x v="7"/>
    <x v="4"/>
    <x v="7"/>
    <x v="481"/>
    <x v="1"/>
    <x v="9"/>
    <x v="0"/>
    <n v="67760"/>
  </r>
  <r>
    <s v="CSKU12688_2ES"/>
    <x v="2"/>
    <x v="1"/>
    <x v="1"/>
    <x v="7"/>
    <x v="1"/>
    <x v="7"/>
    <x v="481"/>
    <x v="1"/>
    <x v="9"/>
    <x v="0"/>
    <n v="77460"/>
  </r>
  <r>
    <s v="CSKU12613_2ES"/>
    <x v="2"/>
    <x v="1"/>
    <x v="1"/>
    <x v="0"/>
    <x v="4"/>
    <x v="7"/>
    <x v="391"/>
    <x v="1"/>
    <x v="9"/>
    <x v="0"/>
    <n v="72380"/>
  </r>
  <r>
    <s v="CSKU12614_2ES"/>
    <x v="2"/>
    <x v="1"/>
    <x v="1"/>
    <x v="0"/>
    <x v="1"/>
    <x v="7"/>
    <x v="391"/>
    <x v="1"/>
    <x v="9"/>
    <x v="0"/>
    <n v="84460"/>
  </r>
  <r>
    <s v="CSKU12615_2ES"/>
    <x v="2"/>
    <x v="1"/>
    <x v="1"/>
    <x v="7"/>
    <x v="4"/>
    <x v="7"/>
    <x v="391"/>
    <x v="1"/>
    <x v="9"/>
    <x v="0"/>
    <n v="76360"/>
  </r>
  <r>
    <s v="CSKU12616_2ES"/>
    <x v="2"/>
    <x v="1"/>
    <x v="1"/>
    <x v="7"/>
    <x v="1"/>
    <x v="7"/>
    <x v="391"/>
    <x v="1"/>
    <x v="9"/>
    <x v="0"/>
    <n v="88440"/>
  </r>
  <r>
    <s v="CSKU12866_2ES"/>
    <x v="2"/>
    <x v="1"/>
    <x v="1"/>
    <x v="0"/>
    <x v="1"/>
    <x v="7"/>
    <x v="484"/>
    <x v="1"/>
    <x v="9"/>
    <x v="0"/>
    <n v="81840"/>
  </r>
  <r>
    <s v="CSKU12867_2ES"/>
    <x v="2"/>
    <x v="1"/>
    <x v="1"/>
    <x v="7"/>
    <x v="4"/>
    <x v="7"/>
    <x v="484"/>
    <x v="1"/>
    <x v="9"/>
    <x v="0"/>
    <n v="74020"/>
  </r>
  <r>
    <s v="CSKU12868_2ES"/>
    <x v="2"/>
    <x v="1"/>
    <x v="1"/>
    <x v="7"/>
    <x v="1"/>
    <x v="7"/>
    <x v="484"/>
    <x v="1"/>
    <x v="9"/>
    <x v="0"/>
    <n v="85820"/>
  </r>
  <r>
    <s v="CSKU12504_2ES"/>
    <x v="2"/>
    <x v="1"/>
    <x v="1"/>
    <x v="4"/>
    <x v="1"/>
    <x v="7"/>
    <x v="486"/>
    <x v="1"/>
    <x v="9"/>
    <x v="0"/>
    <n v="85990"/>
  </r>
  <r>
    <s v="CSKU12505_2ES"/>
    <x v="2"/>
    <x v="1"/>
    <x v="1"/>
    <x v="0"/>
    <x v="4"/>
    <x v="7"/>
    <x v="486"/>
    <x v="1"/>
    <x v="9"/>
    <x v="0"/>
    <n v="76680"/>
  </r>
  <r>
    <s v="CSKU12506_2ES"/>
    <x v="2"/>
    <x v="1"/>
    <x v="1"/>
    <x v="0"/>
    <x v="1"/>
    <x v="7"/>
    <x v="486"/>
    <x v="1"/>
    <x v="9"/>
    <x v="0"/>
    <n v="89950"/>
  </r>
  <r>
    <s v="CSKU12507_2ES"/>
    <x v="2"/>
    <x v="1"/>
    <x v="1"/>
    <x v="7"/>
    <x v="4"/>
    <x v="7"/>
    <x v="486"/>
    <x v="1"/>
    <x v="9"/>
    <x v="0"/>
    <n v="80660"/>
  </r>
  <r>
    <s v="CSKU12508_2ES"/>
    <x v="2"/>
    <x v="1"/>
    <x v="1"/>
    <x v="7"/>
    <x v="1"/>
    <x v="7"/>
    <x v="486"/>
    <x v="1"/>
    <x v="9"/>
    <x v="0"/>
    <n v="93930"/>
  </r>
  <r>
    <s v="CSKU12533_2ES"/>
    <x v="2"/>
    <x v="1"/>
    <x v="0"/>
    <x v="4"/>
    <x v="4"/>
    <x v="7"/>
    <x v="153"/>
    <x v="0"/>
    <x v="9"/>
    <x v="0"/>
    <n v="64800"/>
  </r>
  <r>
    <s v="CSKU12534_2ES"/>
    <x v="2"/>
    <x v="1"/>
    <x v="0"/>
    <x v="0"/>
    <x v="4"/>
    <x v="7"/>
    <x v="153"/>
    <x v="0"/>
    <x v="9"/>
    <x v="0"/>
    <n v="68330"/>
  </r>
  <r>
    <s v="CSKU12535_2ES"/>
    <x v="2"/>
    <x v="1"/>
    <x v="0"/>
    <x v="7"/>
    <x v="4"/>
    <x v="7"/>
    <x v="153"/>
    <x v="0"/>
    <x v="9"/>
    <x v="0"/>
    <n v="71900"/>
  </r>
  <r>
    <s v="CSKU12536_2ES"/>
    <x v="2"/>
    <x v="1"/>
    <x v="0"/>
    <x v="4"/>
    <x v="1"/>
    <x v="7"/>
    <x v="153"/>
    <x v="0"/>
    <x v="9"/>
    <x v="0"/>
    <n v="76040"/>
  </r>
  <r>
    <s v="CSKU12537_2ES"/>
    <x v="2"/>
    <x v="1"/>
    <x v="0"/>
    <x v="0"/>
    <x v="1"/>
    <x v="7"/>
    <x v="153"/>
    <x v="0"/>
    <x v="9"/>
    <x v="0"/>
    <n v="79570"/>
  </r>
  <r>
    <s v="CSKU12538_2ES"/>
    <x v="2"/>
    <x v="1"/>
    <x v="0"/>
    <x v="7"/>
    <x v="1"/>
    <x v="7"/>
    <x v="153"/>
    <x v="0"/>
    <x v="9"/>
    <x v="0"/>
    <n v="83120"/>
  </r>
  <r>
    <s v="CSKU12539_2ES"/>
    <x v="2"/>
    <x v="1"/>
    <x v="1"/>
    <x v="4"/>
    <x v="4"/>
    <x v="7"/>
    <x v="153"/>
    <x v="1"/>
    <x v="9"/>
    <x v="0"/>
    <n v="68420"/>
  </r>
  <r>
    <s v="CSKU12965_2ES"/>
    <x v="2"/>
    <x v="1"/>
    <x v="0"/>
    <x v="4"/>
    <x v="4"/>
    <x v="7"/>
    <x v="485"/>
    <x v="0"/>
    <x v="9"/>
    <x v="0"/>
    <n v="53860"/>
  </r>
  <r>
    <s v="CSKU12966_2ES"/>
    <x v="2"/>
    <x v="1"/>
    <x v="0"/>
    <x v="0"/>
    <x v="4"/>
    <x v="7"/>
    <x v="485"/>
    <x v="0"/>
    <x v="9"/>
    <x v="0"/>
    <n v="57390"/>
  </r>
  <r>
    <s v="CSKU12967_2ES"/>
    <x v="2"/>
    <x v="1"/>
    <x v="0"/>
    <x v="7"/>
    <x v="4"/>
    <x v="7"/>
    <x v="485"/>
    <x v="0"/>
    <x v="9"/>
    <x v="0"/>
    <n v="60960"/>
  </r>
  <r>
    <s v="CSKU12968_2ES"/>
    <x v="2"/>
    <x v="1"/>
    <x v="0"/>
    <x v="4"/>
    <x v="1"/>
    <x v="7"/>
    <x v="485"/>
    <x v="0"/>
    <x v="9"/>
    <x v="0"/>
    <n v="62440"/>
  </r>
  <r>
    <s v="CSKU12969_2ES"/>
    <x v="2"/>
    <x v="1"/>
    <x v="0"/>
    <x v="0"/>
    <x v="1"/>
    <x v="7"/>
    <x v="485"/>
    <x v="0"/>
    <x v="9"/>
    <x v="0"/>
    <n v="65970"/>
  </r>
  <r>
    <s v="CSKU12970_2ES"/>
    <x v="2"/>
    <x v="1"/>
    <x v="0"/>
    <x v="7"/>
    <x v="1"/>
    <x v="7"/>
    <x v="485"/>
    <x v="0"/>
    <x v="9"/>
    <x v="0"/>
    <n v="69520"/>
  </r>
  <r>
    <s v="CSKU12971_2ES"/>
    <x v="2"/>
    <x v="1"/>
    <x v="1"/>
    <x v="4"/>
    <x v="4"/>
    <x v="7"/>
    <x v="485"/>
    <x v="1"/>
    <x v="9"/>
    <x v="0"/>
    <n v="57480"/>
  </r>
  <r>
    <s v="CSKU12972_2ES"/>
    <x v="2"/>
    <x v="1"/>
    <x v="1"/>
    <x v="4"/>
    <x v="1"/>
    <x v="7"/>
    <x v="485"/>
    <x v="1"/>
    <x v="9"/>
    <x v="0"/>
    <n v="66900"/>
  </r>
  <r>
    <s v="CSKU12755_2ES"/>
    <x v="2"/>
    <x v="1"/>
    <x v="1"/>
    <x v="4"/>
    <x v="4"/>
    <x v="7"/>
    <x v="482"/>
    <x v="1"/>
    <x v="9"/>
    <x v="0"/>
    <n v="77020"/>
  </r>
  <r>
    <s v="CSKU12399_2ES"/>
    <x v="2"/>
    <x v="1"/>
    <x v="1"/>
    <x v="0"/>
    <x v="1"/>
    <x v="7"/>
    <x v="152"/>
    <x v="1"/>
    <x v="9"/>
    <x v="0"/>
    <n v="86000"/>
  </r>
  <r>
    <s v="CSKU12400_2ES"/>
    <x v="2"/>
    <x v="1"/>
    <x v="1"/>
    <x v="7"/>
    <x v="1"/>
    <x v="7"/>
    <x v="152"/>
    <x v="1"/>
    <x v="9"/>
    <x v="0"/>
    <n v="89980"/>
  </r>
  <r>
    <s v="CSKU12429_2ES"/>
    <x v="2"/>
    <x v="1"/>
    <x v="0"/>
    <x v="0"/>
    <x v="1"/>
    <x v="7"/>
    <x v="389"/>
    <x v="0"/>
    <x v="9"/>
    <x v="0"/>
    <n v="90550"/>
  </r>
  <r>
    <s v="CSKU12430_2ES"/>
    <x v="2"/>
    <x v="1"/>
    <x v="0"/>
    <x v="7"/>
    <x v="1"/>
    <x v="7"/>
    <x v="389"/>
    <x v="0"/>
    <x v="9"/>
    <x v="0"/>
    <n v="94100"/>
  </r>
  <r>
    <s v="CSKU12431_2ES"/>
    <x v="2"/>
    <x v="1"/>
    <x v="1"/>
    <x v="4"/>
    <x v="4"/>
    <x v="7"/>
    <x v="389"/>
    <x v="1"/>
    <x v="9"/>
    <x v="0"/>
    <n v="77020"/>
  </r>
  <r>
    <s v="CSKU12432_2ES"/>
    <x v="2"/>
    <x v="1"/>
    <x v="1"/>
    <x v="4"/>
    <x v="1"/>
    <x v="7"/>
    <x v="389"/>
    <x v="1"/>
    <x v="9"/>
    <x v="0"/>
    <n v="91480"/>
  </r>
  <r>
    <s v="CSKU12433_2ES"/>
    <x v="2"/>
    <x v="1"/>
    <x v="1"/>
    <x v="0"/>
    <x v="4"/>
    <x v="7"/>
    <x v="389"/>
    <x v="1"/>
    <x v="9"/>
    <x v="0"/>
    <n v="80980"/>
  </r>
  <r>
    <s v="CSKU12434_2ES"/>
    <x v="2"/>
    <x v="1"/>
    <x v="1"/>
    <x v="0"/>
    <x v="1"/>
    <x v="7"/>
    <x v="389"/>
    <x v="1"/>
    <x v="9"/>
    <x v="0"/>
    <n v="95440"/>
  </r>
  <r>
    <s v="CSKU12435_2ES"/>
    <x v="2"/>
    <x v="1"/>
    <x v="1"/>
    <x v="7"/>
    <x v="4"/>
    <x v="7"/>
    <x v="389"/>
    <x v="1"/>
    <x v="9"/>
    <x v="0"/>
    <n v="84960"/>
  </r>
  <r>
    <s v="CSKU12461_2ES"/>
    <x v="2"/>
    <x v="1"/>
    <x v="0"/>
    <x v="4"/>
    <x v="4"/>
    <x v="7"/>
    <x v="487"/>
    <x v="0"/>
    <x v="9"/>
    <x v="0"/>
    <n v="73400"/>
  </r>
  <r>
    <s v="CSKU12462_2ES"/>
    <x v="2"/>
    <x v="1"/>
    <x v="0"/>
    <x v="0"/>
    <x v="4"/>
    <x v="7"/>
    <x v="487"/>
    <x v="0"/>
    <x v="9"/>
    <x v="0"/>
    <n v="76930"/>
  </r>
  <r>
    <s v="CSKU12463_2ES"/>
    <x v="2"/>
    <x v="1"/>
    <x v="0"/>
    <x v="7"/>
    <x v="4"/>
    <x v="7"/>
    <x v="487"/>
    <x v="0"/>
    <x v="9"/>
    <x v="0"/>
    <n v="80500"/>
  </r>
  <r>
    <s v="CSKU12464_2ES"/>
    <x v="2"/>
    <x v="1"/>
    <x v="0"/>
    <x v="4"/>
    <x v="1"/>
    <x v="7"/>
    <x v="487"/>
    <x v="0"/>
    <x v="9"/>
    <x v="0"/>
    <n v="87020"/>
  </r>
  <r>
    <s v="CSKU12465_2ES"/>
    <x v="2"/>
    <x v="1"/>
    <x v="0"/>
    <x v="0"/>
    <x v="1"/>
    <x v="7"/>
    <x v="487"/>
    <x v="0"/>
    <x v="9"/>
    <x v="0"/>
    <n v="90550"/>
  </r>
  <r>
    <s v="CSKU12389_2ES"/>
    <x v="2"/>
    <x v="1"/>
    <x v="0"/>
    <x v="4"/>
    <x v="4"/>
    <x v="7"/>
    <x v="152"/>
    <x v="0"/>
    <x v="9"/>
    <x v="0"/>
    <n v="65270"/>
  </r>
  <r>
    <s v="CSKU12569_2ES"/>
    <x v="2"/>
    <x v="1"/>
    <x v="0"/>
    <x v="4"/>
    <x v="4"/>
    <x v="7"/>
    <x v="154"/>
    <x v="0"/>
    <x v="9"/>
    <x v="0"/>
    <n v="64800"/>
  </r>
  <r>
    <s v="CSKU12436_2ES"/>
    <x v="2"/>
    <x v="1"/>
    <x v="1"/>
    <x v="7"/>
    <x v="1"/>
    <x v="7"/>
    <x v="389"/>
    <x v="1"/>
    <x v="9"/>
    <x v="0"/>
    <n v="99420"/>
  </r>
  <r>
    <s v="CSKU12756_2ES"/>
    <x v="2"/>
    <x v="1"/>
    <x v="1"/>
    <x v="4"/>
    <x v="1"/>
    <x v="7"/>
    <x v="482"/>
    <x v="1"/>
    <x v="9"/>
    <x v="0"/>
    <n v="91480"/>
  </r>
  <r>
    <s v="CSKU12757_2ES"/>
    <x v="2"/>
    <x v="1"/>
    <x v="1"/>
    <x v="0"/>
    <x v="4"/>
    <x v="7"/>
    <x v="482"/>
    <x v="1"/>
    <x v="9"/>
    <x v="0"/>
    <n v="80980"/>
  </r>
  <r>
    <s v="CSKU12758_2ES"/>
    <x v="2"/>
    <x v="1"/>
    <x v="1"/>
    <x v="0"/>
    <x v="1"/>
    <x v="7"/>
    <x v="482"/>
    <x v="1"/>
    <x v="9"/>
    <x v="0"/>
    <n v="95440"/>
  </r>
  <r>
    <s v="CSKU12759_2ES"/>
    <x v="2"/>
    <x v="1"/>
    <x v="1"/>
    <x v="7"/>
    <x v="4"/>
    <x v="7"/>
    <x v="482"/>
    <x v="1"/>
    <x v="9"/>
    <x v="0"/>
    <n v="84960"/>
  </r>
  <r>
    <s v="CSKU12760_2ES"/>
    <x v="2"/>
    <x v="1"/>
    <x v="1"/>
    <x v="7"/>
    <x v="1"/>
    <x v="7"/>
    <x v="482"/>
    <x v="1"/>
    <x v="9"/>
    <x v="0"/>
    <n v="99420"/>
  </r>
  <r>
    <s v="CSKU12466_2ES"/>
    <x v="2"/>
    <x v="1"/>
    <x v="0"/>
    <x v="7"/>
    <x v="1"/>
    <x v="7"/>
    <x v="487"/>
    <x v="0"/>
    <x v="9"/>
    <x v="0"/>
    <n v="94100"/>
  </r>
  <r>
    <s v="CSKU12281_2ES"/>
    <x v="2"/>
    <x v="1"/>
    <x v="0"/>
    <x v="4"/>
    <x v="4"/>
    <x v="7"/>
    <x v="488"/>
    <x v="0"/>
    <x v="9"/>
    <x v="0"/>
    <n v="73400"/>
  </r>
  <r>
    <s v="CSKU12282_2ES"/>
    <x v="2"/>
    <x v="1"/>
    <x v="0"/>
    <x v="0"/>
    <x v="4"/>
    <x v="7"/>
    <x v="488"/>
    <x v="0"/>
    <x v="9"/>
    <x v="0"/>
    <n v="76930"/>
  </r>
  <r>
    <s v="CSKU12317_2ES"/>
    <x v="2"/>
    <x v="1"/>
    <x v="0"/>
    <x v="4"/>
    <x v="4"/>
    <x v="7"/>
    <x v="489"/>
    <x v="0"/>
    <x v="9"/>
    <x v="0"/>
    <n v="69100"/>
  </r>
  <r>
    <s v="CSKU12318_2ES"/>
    <x v="2"/>
    <x v="1"/>
    <x v="0"/>
    <x v="0"/>
    <x v="4"/>
    <x v="7"/>
    <x v="489"/>
    <x v="0"/>
    <x v="9"/>
    <x v="0"/>
    <n v="72630"/>
  </r>
  <r>
    <s v="CSKU12319_2ES"/>
    <x v="2"/>
    <x v="1"/>
    <x v="0"/>
    <x v="7"/>
    <x v="4"/>
    <x v="7"/>
    <x v="489"/>
    <x v="0"/>
    <x v="9"/>
    <x v="0"/>
    <n v="76200"/>
  </r>
  <r>
    <s v="CSKU12320_2ES"/>
    <x v="2"/>
    <x v="1"/>
    <x v="0"/>
    <x v="4"/>
    <x v="1"/>
    <x v="7"/>
    <x v="489"/>
    <x v="0"/>
    <x v="9"/>
    <x v="0"/>
    <n v="81530"/>
  </r>
  <r>
    <s v="CSKU12321_2ES"/>
    <x v="2"/>
    <x v="1"/>
    <x v="0"/>
    <x v="0"/>
    <x v="1"/>
    <x v="7"/>
    <x v="489"/>
    <x v="0"/>
    <x v="9"/>
    <x v="0"/>
    <n v="85060"/>
  </r>
  <r>
    <s v="CSKU12322_2ES"/>
    <x v="2"/>
    <x v="1"/>
    <x v="0"/>
    <x v="7"/>
    <x v="1"/>
    <x v="7"/>
    <x v="489"/>
    <x v="0"/>
    <x v="9"/>
    <x v="0"/>
    <n v="88610"/>
  </r>
  <r>
    <s v="CSKU12467_2ES"/>
    <x v="2"/>
    <x v="1"/>
    <x v="1"/>
    <x v="4"/>
    <x v="4"/>
    <x v="7"/>
    <x v="487"/>
    <x v="1"/>
    <x v="9"/>
    <x v="0"/>
    <n v="77020"/>
  </r>
  <r>
    <s v="CSKU12468_2ES"/>
    <x v="2"/>
    <x v="1"/>
    <x v="1"/>
    <x v="4"/>
    <x v="1"/>
    <x v="7"/>
    <x v="487"/>
    <x v="1"/>
    <x v="9"/>
    <x v="0"/>
    <n v="91480"/>
  </r>
  <r>
    <s v="CSKU12469_2ES"/>
    <x v="2"/>
    <x v="1"/>
    <x v="1"/>
    <x v="0"/>
    <x v="4"/>
    <x v="7"/>
    <x v="487"/>
    <x v="1"/>
    <x v="9"/>
    <x v="0"/>
    <n v="80980"/>
  </r>
  <r>
    <s v="CSKU12470_2ES"/>
    <x v="2"/>
    <x v="1"/>
    <x v="1"/>
    <x v="0"/>
    <x v="1"/>
    <x v="7"/>
    <x v="487"/>
    <x v="1"/>
    <x v="9"/>
    <x v="0"/>
    <n v="95440"/>
  </r>
  <r>
    <s v="CSKU12471_2ES"/>
    <x v="2"/>
    <x v="1"/>
    <x v="1"/>
    <x v="7"/>
    <x v="4"/>
    <x v="7"/>
    <x v="487"/>
    <x v="1"/>
    <x v="9"/>
    <x v="0"/>
    <n v="84960"/>
  </r>
  <r>
    <s v="CSKU12472_2ES"/>
    <x v="2"/>
    <x v="1"/>
    <x v="1"/>
    <x v="7"/>
    <x v="1"/>
    <x v="7"/>
    <x v="487"/>
    <x v="1"/>
    <x v="9"/>
    <x v="0"/>
    <n v="99420"/>
  </r>
  <r>
    <s v="CSKU12323_2ES"/>
    <x v="2"/>
    <x v="1"/>
    <x v="1"/>
    <x v="4"/>
    <x v="4"/>
    <x v="7"/>
    <x v="489"/>
    <x v="1"/>
    <x v="9"/>
    <x v="0"/>
    <n v="72720"/>
  </r>
  <r>
    <s v="CSKU12324_2ES"/>
    <x v="2"/>
    <x v="1"/>
    <x v="1"/>
    <x v="4"/>
    <x v="1"/>
    <x v="7"/>
    <x v="489"/>
    <x v="1"/>
    <x v="9"/>
    <x v="0"/>
    <n v="85990"/>
  </r>
  <r>
    <s v="CSKU12325_2ES"/>
    <x v="2"/>
    <x v="1"/>
    <x v="1"/>
    <x v="0"/>
    <x v="4"/>
    <x v="7"/>
    <x v="489"/>
    <x v="1"/>
    <x v="9"/>
    <x v="0"/>
    <n v="76680"/>
  </r>
  <r>
    <s v="CSKU12326_2ES"/>
    <x v="2"/>
    <x v="1"/>
    <x v="1"/>
    <x v="0"/>
    <x v="1"/>
    <x v="7"/>
    <x v="489"/>
    <x v="1"/>
    <x v="9"/>
    <x v="0"/>
    <n v="89950"/>
  </r>
  <r>
    <s v="CSKU12327_2ES"/>
    <x v="2"/>
    <x v="1"/>
    <x v="1"/>
    <x v="7"/>
    <x v="4"/>
    <x v="7"/>
    <x v="489"/>
    <x v="1"/>
    <x v="9"/>
    <x v="0"/>
    <n v="80660"/>
  </r>
  <r>
    <s v="CSKU12328_2ES"/>
    <x v="2"/>
    <x v="1"/>
    <x v="1"/>
    <x v="7"/>
    <x v="1"/>
    <x v="7"/>
    <x v="489"/>
    <x v="1"/>
    <x v="9"/>
    <x v="0"/>
    <n v="93930"/>
  </r>
  <r>
    <s v="CSKU12353_2ES"/>
    <x v="2"/>
    <x v="1"/>
    <x v="0"/>
    <x v="4"/>
    <x v="4"/>
    <x v="7"/>
    <x v="151"/>
    <x v="0"/>
    <x v="9"/>
    <x v="0"/>
    <n v="67930"/>
  </r>
  <r>
    <s v="CSKU12354_2ES"/>
    <x v="2"/>
    <x v="1"/>
    <x v="0"/>
    <x v="0"/>
    <x v="4"/>
    <x v="7"/>
    <x v="151"/>
    <x v="0"/>
    <x v="9"/>
    <x v="0"/>
    <n v="71460"/>
  </r>
  <r>
    <s v="CSKU12355_2ES"/>
    <x v="2"/>
    <x v="1"/>
    <x v="0"/>
    <x v="7"/>
    <x v="4"/>
    <x v="7"/>
    <x v="151"/>
    <x v="0"/>
    <x v="9"/>
    <x v="0"/>
    <n v="75030"/>
  </r>
  <r>
    <s v="CSKU12356_2ES"/>
    <x v="2"/>
    <x v="1"/>
    <x v="0"/>
    <x v="4"/>
    <x v="1"/>
    <x v="7"/>
    <x v="151"/>
    <x v="0"/>
    <x v="9"/>
    <x v="0"/>
    <n v="80220"/>
  </r>
  <r>
    <s v="CSKU12357_2ES"/>
    <x v="2"/>
    <x v="1"/>
    <x v="0"/>
    <x v="0"/>
    <x v="1"/>
    <x v="7"/>
    <x v="151"/>
    <x v="0"/>
    <x v="9"/>
    <x v="0"/>
    <n v="83750"/>
  </r>
  <r>
    <s v="CSKU12358_2ES"/>
    <x v="2"/>
    <x v="1"/>
    <x v="0"/>
    <x v="7"/>
    <x v="1"/>
    <x v="7"/>
    <x v="151"/>
    <x v="0"/>
    <x v="9"/>
    <x v="0"/>
    <n v="87300"/>
  </r>
  <r>
    <s v="CSKU12137_2ES"/>
    <x v="2"/>
    <x v="1"/>
    <x v="0"/>
    <x v="4"/>
    <x v="4"/>
    <x v="7"/>
    <x v="149"/>
    <x v="0"/>
    <x v="9"/>
    <x v="0"/>
    <n v="52370"/>
  </r>
  <r>
    <s v="CSKU12030_2ES"/>
    <x v="2"/>
    <x v="1"/>
    <x v="0"/>
    <x v="0"/>
    <x v="4"/>
    <x v="7"/>
    <x v="445"/>
    <x v="0"/>
    <x v="9"/>
    <x v="0"/>
    <n v="64030"/>
  </r>
  <r>
    <s v="CSKU12031_2ES"/>
    <x v="2"/>
    <x v="1"/>
    <x v="0"/>
    <x v="7"/>
    <x v="4"/>
    <x v="7"/>
    <x v="445"/>
    <x v="0"/>
    <x v="9"/>
    <x v="0"/>
    <n v="67600"/>
  </r>
  <r>
    <s v="CSKU12032_2ES"/>
    <x v="2"/>
    <x v="1"/>
    <x v="0"/>
    <x v="4"/>
    <x v="1"/>
    <x v="7"/>
    <x v="445"/>
    <x v="0"/>
    <x v="9"/>
    <x v="0"/>
    <n v="70550"/>
  </r>
  <r>
    <s v="CSKU12033_2ES"/>
    <x v="2"/>
    <x v="1"/>
    <x v="0"/>
    <x v="0"/>
    <x v="1"/>
    <x v="7"/>
    <x v="445"/>
    <x v="0"/>
    <x v="9"/>
    <x v="0"/>
    <n v="74080"/>
  </r>
  <r>
    <s v="CSKU12034_2ES"/>
    <x v="2"/>
    <x v="1"/>
    <x v="0"/>
    <x v="7"/>
    <x v="1"/>
    <x v="7"/>
    <x v="445"/>
    <x v="0"/>
    <x v="9"/>
    <x v="0"/>
    <n v="77630"/>
  </r>
  <r>
    <s v="CSKU12035_2ES"/>
    <x v="2"/>
    <x v="1"/>
    <x v="1"/>
    <x v="4"/>
    <x v="4"/>
    <x v="7"/>
    <x v="445"/>
    <x v="1"/>
    <x v="9"/>
    <x v="0"/>
    <n v="64120"/>
  </r>
  <r>
    <s v="CSKU12036_2ES"/>
    <x v="2"/>
    <x v="1"/>
    <x v="1"/>
    <x v="4"/>
    <x v="1"/>
    <x v="7"/>
    <x v="445"/>
    <x v="1"/>
    <x v="9"/>
    <x v="0"/>
    <n v="75010"/>
  </r>
  <r>
    <s v="CSKU12037_2ES"/>
    <x v="2"/>
    <x v="1"/>
    <x v="1"/>
    <x v="0"/>
    <x v="4"/>
    <x v="7"/>
    <x v="445"/>
    <x v="1"/>
    <x v="9"/>
    <x v="0"/>
    <n v="68080"/>
  </r>
  <r>
    <s v="CSKU12065_2ES"/>
    <x v="2"/>
    <x v="1"/>
    <x v="0"/>
    <x v="4"/>
    <x v="4"/>
    <x v="7"/>
    <x v="490"/>
    <x v="0"/>
    <x v="9"/>
    <x v="0"/>
    <n v="56200"/>
  </r>
  <r>
    <s v="CSKU12066_2ES"/>
    <x v="2"/>
    <x v="1"/>
    <x v="0"/>
    <x v="0"/>
    <x v="4"/>
    <x v="7"/>
    <x v="490"/>
    <x v="0"/>
    <x v="9"/>
    <x v="0"/>
    <n v="59730"/>
  </r>
  <r>
    <s v="CSKU12067_2ES"/>
    <x v="2"/>
    <x v="1"/>
    <x v="0"/>
    <x v="7"/>
    <x v="4"/>
    <x v="7"/>
    <x v="490"/>
    <x v="0"/>
    <x v="9"/>
    <x v="0"/>
    <n v="63300"/>
  </r>
  <r>
    <s v="CSKU12068_2ES"/>
    <x v="2"/>
    <x v="1"/>
    <x v="0"/>
    <x v="4"/>
    <x v="1"/>
    <x v="7"/>
    <x v="490"/>
    <x v="0"/>
    <x v="9"/>
    <x v="0"/>
    <n v="65060"/>
  </r>
  <r>
    <s v="CSKU12069_2ES"/>
    <x v="2"/>
    <x v="1"/>
    <x v="0"/>
    <x v="0"/>
    <x v="1"/>
    <x v="7"/>
    <x v="490"/>
    <x v="0"/>
    <x v="9"/>
    <x v="0"/>
    <n v="68590"/>
  </r>
  <r>
    <s v="CSKU12070_2ES"/>
    <x v="2"/>
    <x v="1"/>
    <x v="0"/>
    <x v="7"/>
    <x v="1"/>
    <x v="7"/>
    <x v="490"/>
    <x v="0"/>
    <x v="9"/>
    <x v="0"/>
    <n v="72140"/>
  </r>
  <r>
    <s v="CSKU12175_2ES"/>
    <x v="2"/>
    <x v="1"/>
    <x v="0"/>
    <x v="7"/>
    <x v="4"/>
    <x v="7"/>
    <x v="150"/>
    <x v="0"/>
    <x v="9"/>
    <x v="0"/>
    <n v="67600"/>
  </r>
  <r>
    <s v="CSKU12176_2ES"/>
    <x v="2"/>
    <x v="1"/>
    <x v="0"/>
    <x v="4"/>
    <x v="1"/>
    <x v="7"/>
    <x v="150"/>
    <x v="0"/>
    <x v="9"/>
    <x v="0"/>
    <n v="70550"/>
  </r>
  <r>
    <s v="CSKU12177_2ES"/>
    <x v="2"/>
    <x v="1"/>
    <x v="0"/>
    <x v="0"/>
    <x v="1"/>
    <x v="7"/>
    <x v="150"/>
    <x v="0"/>
    <x v="9"/>
    <x v="0"/>
    <n v="74080"/>
  </r>
  <r>
    <s v="CSKU12178_2ES"/>
    <x v="2"/>
    <x v="1"/>
    <x v="0"/>
    <x v="7"/>
    <x v="1"/>
    <x v="7"/>
    <x v="150"/>
    <x v="0"/>
    <x v="9"/>
    <x v="0"/>
    <n v="77630"/>
  </r>
  <r>
    <s v="CSKU12179_2ES"/>
    <x v="2"/>
    <x v="1"/>
    <x v="1"/>
    <x v="4"/>
    <x v="4"/>
    <x v="7"/>
    <x v="150"/>
    <x v="1"/>
    <x v="9"/>
    <x v="0"/>
    <n v="64120"/>
  </r>
  <r>
    <s v="CSKU12180_2ES"/>
    <x v="2"/>
    <x v="1"/>
    <x v="1"/>
    <x v="4"/>
    <x v="1"/>
    <x v="7"/>
    <x v="150"/>
    <x v="1"/>
    <x v="9"/>
    <x v="0"/>
    <n v="75010"/>
  </r>
  <r>
    <s v="CSKU12105_2ES"/>
    <x v="2"/>
    <x v="1"/>
    <x v="0"/>
    <x v="0"/>
    <x v="1"/>
    <x v="7"/>
    <x v="395"/>
    <x v="0"/>
    <x v="9"/>
    <x v="0"/>
    <n v="67280"/>
  </r>
  <r>
    <s v="CSKU12106_2ES"/>
    <x v="2"/>
    <x v="1"/>
    <x v="0"/>
    <x v="7"/>
    <x v="1"/>
    <x v="7"/>
    <x v="395"/>
    <x v="0"/>
    <x v="9"/>
    <x v="0"/>
    <n v="70830"/>
  </r>
  <r>
    <s v="CSKU12107_2ES"/>
    <x v="2"/>
    <x v="1"/>
    <x v="1"/>
    <x v="4"/>
    <x v="4"/>
    <x v="7"/>
    <x v="395"/>
    <x v="1"/>
    <x v="9"/>
    <x v="0"/>
    <n v="58650"/>
  </r>
  <r>
    <s v="CSKU12108_2ES"/>
    <x v="2"/>
    <x v="1"/>
    <x v="1"/>
    <x v="4"/>
    <x v="1"/>
    <x v="7"/>
    <x v="395"/>
    <x v="1"/>
    <x v="9"/>
    <x v="0"/>
    <n v="68210"/>
  </r>
  <r>
    <s v="CSKU12109_2ES"/>
    <x v="2"/>
    <x v="1"/>
    <x v="1"/>
    <x v="0"/>
    <x v="4"/>
    <x v="7"/>
    <x v="395"/>
    <x v="1"/>
    <x v="9"/>
    <x v="0"/>
    <n v="62610"/>
  </r>
  <r>
    <s v="CSKU12110_2ES"/>
    <x v="2"/>
    <x v="1"/>
    <x v="1"/>
    <x v="0"/>
    <x v="1"/>
    <x v="7"/>
    <x v="395"/>
    <x v="1"/>
    <x v="9"/>
    <x v="0"/>
    <n v="72170"/>
  </r>
  <r>
    <s v="CSKU12111_2ES"/>
    <x v="2"/>
    <x v="1"/>
    <x v="1"/>
    <x v="7"/>
    <x v="4"/>
    <x v="7"/>
    <x v="395"/>
    <x v="1"/>
    <x v="9"/>
    <x v="0"/>
    <n v="66590"/>
  </r>
  <r>
    <s v="CSKU12112_2ES"/>
    <x v="2"/>
    <x v="1"/>
    <x v="1"/>
    <x v="7"/>
    <x v="1"/>
    <x v="7"/>
    <x v="395"/>
    <x v="1"/>
    <x v="9"/>
    <x v="0"/>
    <n v="76150"/>
  </r>
  <r>
    <s v="CSKU12209_2ES"/>
    <x v="2"/>
    <x v="1"/>
    <x v="0"/>
    <x v="4"/>
    <x v="4"/>
    <x v="7"/>
    <x v="491"/>
    <x v="0"/>
    <x v="9"/>
    <x v="0"/>
    <n v="60500"/>
  </r>
  <r>
    <s v="CSKU12210_2ES"/>
    <x v="2"/>
    <x v="1"/>
    <x v="0"/>
    <x v="0"/>
    <x v="4"/>
    <x v="7"/>
    <x v="491"/>
    <x v="0"/>
    <x v="9"/>
    <x v="0"/>
    <n v="64030"/>
  </r>
  <r>
    <s v="CSKU12211_2ES"/>
    <x v="2"/>
    <x v="1"/>
    <x v="0"/>
    <x v="7"/>
    <x v="4"/>
    <x v="7"/>
    <x v="491"/>
    <x v="0"/>
    <x v="9"/>
    <x v="0"/>
    <n v="67600"/>
  </r>
  <r>
    <s v="CSKU12212_2ES"/>
    <x v="2"/>
    <x v="1"/>
    <x v="0"/>
    <x v="4"/>
    <x v="1"/>
    <x v="7"/>
    <x v="491"/>
    <x v="0"/>
    <x v="9"/>
    <x v="0"/>
    <n v="70550"/>
  </r>
  <r>
    <s v="CSKU12213_2ES"/>
    <x v="2"/>
    <x v="1"/>
    <x v="0"/>
    <x v="0"/>
    <x v="1"/>
    <x v="7"/>
    <x v="491"/>
    <x v="0"/>
    <x v="9"/>
    <x v="0"/>
    <n v="74080"/>
  </r>
  <r>
    <s v="CSKU12214_2ES"/>
    <x v="2"/>
    <x v="1"/>
    <x v="0"/>
    <x v="7"/>
    <x v="1"/>
    <x v="7"/>
    <x v="491"/>
    <x v="0"/>
    <x v="9"/>
    <x v="0"/>
    <n v="77630"/>
  </r>
  <r>
    <s v="CSKU12215_2ES"/>
    <x v="2"/>
    <x v="1"/>
    <x v="1"/>
    <x v="4"/>
    <x v="4"/>
    <x v="7"/>
    <x v="491"/>
    <x v="1"/>
    <x v="9"/>
    <x v="0"/>
    <n v="64120"/>
  </r>
  <r>
    <s v="CSKU12216_2ES"/>
    <x v="2"/>
    <x v="1"/>
    <x v="1"/>
    <x v="4"/>
    <x v="1"/>
    <x v="7"/>
    <x v="491"/>
    <x v="1"/>
    <x v="9"/>
    <x v="0"/>
    <n v="75010"/>
  </r>
  <r>
    <s v="CSKU12245_2ES"/>
    <x v="2"/>
    <x v="1"/>
    <x v="0"/>
    <x v="4"/>
    <x v="4"/>
    <x v="7"/>
    <x v="492"/>
    <x v="0"/>
    <x v="9"/>
    <x v="0"/>
    <n v="60500"/>
  </r>
  <r>
    <s v="CSKU12246_2ES"/>
    <x v="2"/>
    <x v="1"/>
    <x v="0"/>
    <x v="0"/>
    <x v="4"/>
    <x v="7"/>
    <x v="492"/>
    <x v="0"/>
    <x v="9"/>
    <x v="0"/>
    <n v="64030"/>
  </r>
  <r>
    <s v="CSKU12247_2ES"/>
    <x v="2"/>
    <x v="1"/>
    <x v="0"/>
    <x v="7"/>
    <x v="4"/>
    <x v="7"/>
    <x v="492"/>
    <x v="0"/>
    <x v="9"/>
    <x v="0"/>
    <n v="67600"/>
  </r>
  <r>
    <s v="CSKU12248_2ES"/>
    <x v="2"/>
    <x v="1"/>
    <x v="0"/>
    <x v="4"/>
    <x v="1"/>
    <x v="7"/>
    <x v="492"/>
    <x v="0"/>
    <x v="9"/>
    <x v="0"/>
    <n v="70550"/>
  </r>
  <r>
    <s v="CSKU12249_2ES"/>
    <x v="2"/>
    <x v="1"/>
    <x v="0"/>
    <x v="0"/>
    <x v="1"/>
    <x v="7"/>
    <x v="492"/>
    <x v="0"/>
    <x v="9"/>
    <x v="0"/>
    <n v="74080"/>
  </r>
  <r>
    <s v="CSKU12038_2ES"/>
    <x v="2"/>
    <x v="1"/>
    <x v="1"/>
    <x v="0"/>
    <x v="1"/>
    <x v="7"/>
    <x v="445"/>
    <x v="1"/>
    <x v="9"/>
    <x v="0"/>
    <n v="78970"/>
  </r>
  <r>
    <s v="CSKU12071_2ES"/>
    <x v="2"/>
    <x v="1"/>
    <x v="1"/>
    <x v="4"/>
    <x v="4"/>
    <x v="7"/>
    <x v="490"/>
    <x v="1"/>
    <x v="9"/>
    <x v="0"/>
    <n v="59820"/>
  </r>
  <r>
    <s v="CSKU12039_2ES"/>
    <x v="2"/>
    <x v="1"/>
    <x v="1"/>
    <x v="7"/>
    <x v="4"/>
    <x v="7"/>
    <x v="445"/>
    <x v="1"/>
    <x v="9"/>
    <x v="0"/>
    <n v="72060"/>
  </r>
  <r>
    <s v="CSKU12040_2ES"/>
    <x v="2"/>
    <x v="1"/>
    <x v="1"/>
    <x v="7"/>
    <x v="1"/>
    <x v="7"/>
    <x v="445"/>
    <x v="1"/>
    <x v="9"/>
    <x v="0"/>
    <n v="82950"/>
  </r>
  <r>
    <s v="CSKU12072_2ES"/>
    <x v="2"/>
    <x v="1"/>
    <x v="1"/>
    <x v="4"/>
    <x v="1"/>
    <x v="7"/>
    <x v="490"/>
    <x v="1"/>
    <x v="9"/>
    <x v="0"/>
    <n v="69520"/>
  </r>
  <r>
    <s v="CSKU12073_2ES"/>
    <x v="2"/>
    <x v="1"/>
    <x v="1"/>
    <x v="0"/>
    <x v="4"/>
    <x v="7"/>
    <x v="490"/>
    <x v="1"/>
    <x v="9"/>
    <x v="0"/>
    <n v="63780"/>
  </r>
  <r>
    <s v="CSKU12074_2ES"/>
    <x v="2"/>
    <x v="1"/>
    <x v="1"/>
    <x v="0"/>
    <x v="1"/>
    <x v="7"/>
    <x v="490"/>
    <x v="1"/>
    <x v="9"/>
    <x v="0"/>
    <n v="73480"/>
  </r>
  <r>
    <s v="CSKU12075_2ES"/>
    <x v="2"/>
    <x v="1"/>
    <x v="1"/>
    <x v="7"/>
    <x v="4"/>
    <x v="7"/>
    <x v="490"/>
    <x v="1"/>
    <x v="9"/>
    <x v="0"/>
    <n v="67760"/>
  </r>
  <r>
    <s v="CSKU12076_2ES"/>
    <x v="2"/>
    <x v="1"/>
    <x v="1"/>
    <x v="7"/>
    <x v="1"/>
    <x v="7"/>
    <x v="490"/>
    <x v="1"/>
    <x v="9"/>
    <x v="0"/>
    <n v="77460"/>
  </r>
  <r>
    <s v="CSKU12217_2ES"/>
    <x v="2"/>
    <x v="1"/>
    <x v="1"/>
    <x v="0"/>
    <x v="4"/>
    <x v="7"/>
    <x v="491"/>
    <x v="1"/>
    <x v="9"/>
    <x v="0"/>
    <n v="68080"/>
  </r>
  <r>
    <s v="CSKU12218_2ES"/>
    <x v="2"/>
    <x v="1"/>
    <x v="1"/>
    <x v="0"/>
    <x v="1"/>
    <x v="7"/>
    <x v="491"/>
    <x v="1"/>
    <x v="9"/>
    <x v="0"/>
    <n v="78970"/>
  </r>
  <r>
    <s v="CSKU12219_2ES"/>
    <x v="2"/>
    <x v="1"/>
    <x v="1"/>
    <x v="7"/>
    <x v="4"/>
    <x v="7"/>
    <x v="491"/>
    <x v="1"/>
    <x v="9"/>
    <x v="0"/>
    <n v="72060"/>
  </r>
  <r>
    <s v="CSKU12220_2ES"/>
    <x v="2"/>
    <x v="1"/>
    <x v="1"/>
    <x v="7"/>
    <x v="1"/>
    <x v="7"/>
    <x v="491"/>
    <x v="1"/>
    <x v="9"/>
    <x v="0"/>
    <n v="82950"/>
  </r>
  <r>
    <s v="CSKU12250_2ES"/>
    <x v="2"/>
    <x v="1"/>
    <x v="0"/>
    <x v="7"/>
    <x v="1"/>
    <x v="7"/>
    <x v="492"/>
    <x v="0"/>
    <x v="9"/>
    <x v="0"/>
    <n v="77630"/>
  </r>
  <r>
    <s v="CSKU12283_2ES"/>
    <x v="2"/>
    <x v="1"/>
    <x v="0"/>
    <x v="7"/>
    <x v="4"/>
    <x v="7"/>
    <x v="488"/>
    <x v="0"/>
    <x v="9"/>
    <x v="0"/>
    <n v="80500"/>
  </r>
  <r>
    <s v="CSKU12251_2ES"/>
    <x v="2"/>
    <x v="1"/>
    <x v="1"/>
    <x v="4"/>
    <x v="4"/>
    <x v="7"/>
    <x v="492"/>
    <x v="1"/>
    <x v="9"/>
    <x v="0"/>
    <n v="64120"/>
  </r>
  <r>
    <s v="CSKU12252_2ES"/>
    <x v="2"/>
    <x v="1"/>
    <x v="1"/>
    <x v="4"/>
    <x v="1"/>
    <x v="7"/>
    <x v="492"/>
    <x v="1"/>
    <x v="9"/>
    <x v="0"/>
    <n v="75010"/>
  </r>
  <r>
    <s v="CSKU12253_2ES"/>
    <x v="2"/>
    <x v="1"/>
    <x v="1"/>
    <x v="0"/>
    <x v="4"/>
    <x v="7"/>
    <x v="492"/>
    <x v="1"/>
    <x v="9"/>
    <x v="0"/>
    <n v="68080"/>
  </r>
  <r>
    <s v="CSKU12254_2ES"/>
    <x v="2"/>
    <x v="1"/>
    <x v="1"/>
    <x v="0"/>
    <x v="1"/>
    <x v="7"/>
    <x v="492"/>
    <x v="1"/>
    <x v="9"/>
    <x v="0"/>
    <n v="78970"/>
  </r>
  <r>
    <s v="CSKU12255_2ES"/>
    <x v="2"/>
    <x v="1"/>
    <x v="1"/>
    <x v="7"/>
    <x v="4"/>
    <x v="7"/>
    <x v="492"/>
    <x v="1"/>
    <x v="9"/>
    <x v="0"/>
    <n v="72060"/>
  </r>
  <r>
    <s v="CSKU12256_2ES"/>
    <x v="2"/>
    <x v="1"/>
    <x v="1"/>
    <x v="7"/>
    <x v="1"/>
    <x v="7"/>
    <x v="492"/>
    <x v="1"/>
    <x v="9"/>
    <x v="0"/>
    <n v="82950"/>
  </r>
  <r>
    <s v="CSKU11823_2ES"/>
    <x v="2"/>
    <x v="1"/>
    <x v="1"/>
    <x v="7"/>
    <x v="4"/>
    <x v="7"/>
    <x v="147"/>
    <x v="1"/>
    <x v="9"/>
    <x v="0"/>
    <n v="80660"/>
  </r>
  <r>
    <s v="CSKU11824_2ES"/>
    <x v="2"/>
    <x v="1"/>
    <x v="1"/>
    <x v="7"/>
    <x v="1"/>
    <x v="7"/>
    <x v="147"/>
    <x v="1"/>
    <x v="9"/>
    <x v="0"/>
    <n v="93930"/>
  </r>
  <r>
    <s v="CSKU11993_2ES"/>
    <x v="2"/>
    <x v="1"/>
    <x v="0"/>
    <x v="4"/>
    <x v="4"/>
    <x v="7"/>
    <x v="493"/>
    <x v="0"/>
    <x v="9"/>
    <x v="0"/>
    <n v="69100"/>
  </r>
  <r>
    <s v="CSKU11994_2ES"/>
    <x v="2"/>
    <x v="1"/>
    <x v="0"/>
    <x v="0"/>
    <x v="4"/>
    <x v="7"/>
    <x v="493"/>
    <x v="0"/>
    <x v="9"/>
    <x v="0"/>
    <n v="72630"/>
  </r>
  <r>
    <s v="CSKU11995_2ES"/>
    <x v="2"/>
    <x v="1"/>
    <x v="0"/>
    <x v="7"/>
    <x v="4"/>
    <x v="7"/>
    <x v="493"/>
    <x v="0"/>
    <x v="9"/>
    <x v="0"/>
    <n v="76200"/>
  </r>
  <r>
    <s v="CSKU12284_2ES"/>
    <x v="2"/>
    <x v="1"/>
    <x v="0"/>
    <x v="4"/>
    <x v="1"/>
    <x v="7"/>
    <x v="488"/>
    <x v="0"/>
    <x v="9"/>
    <x v="0"/>
    <n v="87020"/>
  </r>
  <r>
    <s v="CSKU12285_2ES"/>
    <x v="2"/>
    <x v="1"/>
    <x v="0"/>
    <x v="0"/>
    <x v="1"/>
    <x v="7"/>
    <x v="488"/>
    <x v="0"/>
    <x v="9"/>
    <x v="0"/>
    <n v="90550"/>
  </r>
  <r>
    <s v="CSKU12286_2ES"/>
    <x v="2"/>
    <x v="1"/>
    <x v="0"/>
    <x v="7"/>
    <x v="1"/>
    <x v="7"/>
    <x v="488"/>
    <x v="0"/>
    <x v="9"/>
    <x v="0"/>
    <n v="94100"/>
  </r>
  <r>
    <s v="CSKU12287_2ES"/>
    <x v="2"/>
    <x v="1"/>
    <x v="1"/>
    <x v="4"/>
    <x v="4"/>
    <x v="7"/>
    <x v="488"/>
    <x v="1"/>
    <x v="9"/>
    <x v="0"/>
    <n v="77020"/>
  </r>
  <r>
    <s v="CSKU12288_2ES"/>
    <x v="2"/>
    <x v="1"/>
    <x v="1"/>
    <x v="4"/>
    <x v="1"/>
    <x v="7"/>
    <x v="488"/>
    <x v="1"/>
    <x v="9"/>
    <x v="0"/>
    <n v="91480"/>
  </r>
  <r>
    <s v="CSKU12289_2ES"/>
    <x v="2"/>
    <x v="1"/>
    <x v="1"/>
    <x v="0"/>
    <x v="4"/>
    <x v="7"/>
    <x v="488"/>
    <x v="1"/>
    <x v="9"/>
    <x v="0"/>
    <n v="80980"/>
  </r>
  <r>
    <s v="CSKU12290_2ES"/>
    <x v="2"/>
    <x v="1"/>
    <x v="1"/>
    <x v="0"/>
    <x v="1"/>
    <x v="7"/>
    <x v="488"/>
    <x v="1"/>
    <x v="9"/>
    <x v="0"/>
    <n v="95440"/>
  </r>
  <r>
    <s v="CSKU11891_2ES"/>
    <x v="2"/>
    <x v="1"/>
    <x v="1"/>
    <x v="4"/>
    <x v="4"/>
    <x v="7"/>
    <x v="494"/>
    <x v="1"/>
    <x v="9"/>
    <x v="0"/>
    <n v="69210"/>
  </r>
  <r>
    <s v="CSKU11892_2ES"/>
    <x v="2"/>
    <x v="1"/>
    <x v="1"/>
    <x v="0"/>
    <x v="4"/>
    <x v="7"/>
    <x v="494"/>
    <x v="1"/>
    <x v="9"/>
    <x v="0"/>
    <n v="73170"/>
  </r>
  <r>
    <s v="CSKU11893_2ES"/>
    <x v="2"/>
    <x v="1"/>
    <x v="1"/>
    <x v="7"/>
    <x v="4"/>
    <x v="7"/>
    <x v="494"/>
    <x v="1"/>
    <x v="9"/>
    <x v="0"/>
    <n v="77150"/>
  </r>
  <r>
    <s v="CSKU11894_2ES"/>
    <x v="2"/>
    <x v="1"/>
    <x v="1"/>
    <x v="4"/>
    <x v="1"/>
    <x v="7"/>
    <x v="494"/>
    <x v="1"/>
    <x v="9"/>
    <x v="0"/>
    <n v="82040"/>
  </r>
  <r>
    <s v="CSKU11895_2ES"/>
    <x v="2"/>
    <x v="1"/>
    <x v="1"/>
    <x v="0"/>
    <x v="1"/>
    <x v="7"/>
    <x v="494"/>
    <x v="1"/>
    <x v="9"/>
    <x v="0"/>
    <n v="86000"/>
  </r>
  <r>
    <s v="CSKU11896_2ES"/>
    <x v="2"/>
    <x v="1"/>
    <x v="1"/>
    <x v="7"/>
    <x v="1"/>
    <x v="7"/>
    <x v="494"/>
    <x v="1"/>
    <x v="9"/>
    <x v="0"/>
    <n v="89980"/>
  </r>
  <r>
    <s v="CSKU11957_2ES"/>
    <x v="2"/>
    <x v="1"/>
    <x v="0"/>
    <x v="4"/>
    <x v="4"/>
    <x v="7"/>
    <x v="495"/>
    <x v="0"/>
    <x v="9"/>
    <x v="0"/>
    <n v="73400"/>
  </r>
  <r>
    <s v="CSKU11921_2ES"/>
    <x v="2"/>
    <x v="1"/>
    <x v="0"/>
    <x v="4"/>
    <x v="4"/>
    <x v="7"/>
    <x v="496"/>
    <x v="0"/>
    <x v="9"/>
    <x v="0"/>
    <n v="73400"/>
  </r>
  <r>
    <s v="CSKU11922_2ES"/>
    <x v="2"/>
    <x v="1"/>
    <x v="0"/>
    <x v="0"/>
    <x v="4"/>
    <x v="7"/>
    <x v="496"/>
    <x v="0"/>
    <x v="9"/>
    <x v="0"/>
    <n v="76930"/>
  </r>
  <r>
    <s v="CSKU11923_2ES"/>
    <x v="2"/>
    <x v="1"/>
    <x v="0"/>
    <x v="7"/>
    <x v="4"/>
    <x v="7"/>
    <x v="496"/>
    <x v="0"/>
    <x v="9"/>
    <x v="0"/>
    <n v="80500"/>
  </r>
  <r>
    <s v="CSKU11958_2ES"/>
    <x v="2"/>
    <x v="1"/>
    <x v="0"/>
    <x v="0"/>
    <x v="4"/>
    <x v="7"/>
    <x v="495"/>
    <x v="0"/>
    <x v="9"/>
    <x v="0"/>
    <n v="76930"/>
  </r>
  <r>
    <s v="CSKU11959_2ES"/>
    <x v="2"/>
    <x v="1"/>
    <x v="0"/>
    <x v="7"/>
    <x v="4"/>
    <x v="7"/>
    <x v="495"/>
    <x v="0"/>
    <x v="9"/>
    <x v="0"/>
    <n v="80500"/>
  </r>
  <r>
    <s v="CSKU11960_2ES"/>
    <x v="2"/>
    <x v="1"/>
    <x v="0"/>
    <x v="4"/>
    <x v="1"/>
    <x v="7"/>
    <x v="495"/>
    <x v="0"/>
    <x v="9"/>
    <x v="0"/>
    <n v="87020"/>
  </r>
  <r>
    <s v="CSKU11961_2ES"/>
    <x v="2"/>
    <x v="1"/>
    <x v="0"/>
    <x v="0"/>
    <x v="1"/>
    <x v="7"/>
    <x v="495"/>
    <x v="0"/>
    <x v="9"/>
    <x v="0"/>
    <n v="90550"/>
  </r>
  <r>
    <s v="CSKU11962_2ES"/>
    <x v="2"/>
    <x v="1"/>
    <x v="0"/>
    <x v="7"/>
    <x v="1"/>
    <x v="7"/>
    <x v="495"/>
    <x v="0"/>
    <x v="9"/>
    <x v="0"/>
    <n v="94100"/>
  </r>
  <r>
    <s v="CSKU11963_2ES"/>
    <x v="2"/>
    <x v="1"/>
    <x v="1"/>
    <x v="4"/>
    <x v="4"/>
    <x v="7"/>
    <x v="495"/>
    <x v="1"/>
    <x v="9"/>
    <x v="0"/>
    <n v="77020"/>
  </r>
  <r>
    <s v="CSKU11964_2ES"/>
    <x v="2"/>
    <x v="1"/>
    <x v="1"/>
    <x v="4"/>
    <x v="1"/>
    <x v="7"/>
    <x v="495"/>
    <x v="1"/>
    <x v="9"/>
    <x v="0"/>
    <n v="91480"/>
  </r>
  <r>
    <s v="CSKU11965_2ES"/>
    <x v="2"/>
    <x v="1"/>
    <x v="1"/>
    <x v="0"/>
    <x v="4"/>
    <x v="7"/>
    <x v="495"/>
    <x v="1"/>
    <x v="9"/>
    <x v="0"/>
    <n v="80980"/>
  </r>
  <r>
    <s v="CSKU11996_2ES"/>
    <x v="2"/>
    <x v="1"/>
    <x v="0"/>
    <x v="4"/>
    <x v="1"/>
    <x v="7"/>
    <x v="493"/>
    <x v="0"/>
    <x v="9"/>
    <x v="0"/>
    <n v="81530"/>
  </r>
  <r>
    <s v="CSKU11966_2ES"/>
    <x v="2"/>
    <x v="1"/>
    <x v="1"/>
    <x v="0"/>
    <x v="1"/>
    <x v="7"/>
    <x v="495"/>
    <x v="1"/>
    <x v="9"/>
    <x v="0"/>
    <n v="95440"/>
  </r>
  <r>
    <s v="CSKU11967_2ES"/>
    <x v="2"/>
    <x v="1"/>
    <x v="1"/>
    <x v="7"/>
    <x v="4"/>
    <x v="7"/>
    <x v="495"/>
    <x v="1"/>
    <x v="9"/>
    <x v="0"/>
    <n v="84960"/>
  </r>
  <r>
    <s v="CSKU11968_2ES"/>
    <x v="2"/>
    <x v="1"/>
    <x v="1"/>
    <x v="7"/>
    <x v="1"/>
    <x v="7"/>
    <x v="495"/>
    <x v="1"/>
    <x v="9"/>
    <x v="0"/>
    <n v="99420"/>
  </r>
  <r>
    <s v="CSKU11997_2ES"/>
    <x v="2"/>
    <x v="1"/>
    <x v="0"/>
    <x v="0"/>
    <x v="1"/>
    <x v="7"/>
    <x v="493"/>
    <x v="0"/>
    <x v="9"/>
    <x v="0"/>
    <n v="85060"/>
  </r>
  <r>
    <s v="CSKU11998_2ES"/>
    <x v="2"/>
    <x v="1"/>
    <x v="0"/>
    <x v="7"/>
    <x v="1"/>
    <x v="7"/>
    <x v="493"/>
    <x v="0"/>
    <x v="9"/>
    <x v="0"/>
    <n v="88610"/>
  </r>
  <r>
    <s v="CSKU11999_2ES"/>
    <x v="2"/>
    <x v="1"/>
    <x v="1"/>
    <x v="4"/>
    <x v="4"/>
    <x v="7"/>
    <x v="493"/>
    <x v="1"/>
    <x v="9"/>
    <x v="0"/>
    <n v="72720"/>
  </r>
  <r>
    <s v="CSKU12000_2ES"/>
    <x v="2"/>
    <x v="1"/>
    <x v="1"/>
    <x v="4"/>
    <x v="1"/>
    <x v="7"/>
    <x v="493"/>
    <x v="1"/>
    <x v="9"/>
    <x v="0"/>
    <n v="85990"/>
  </r>
  <r>
    <s v="CSKU12001_2ES"/>
    <x v="2"/>
    <x v="1"/>
    <x v="1"/>
    <x v="0"/>
    <x v="4"/>
    <x v="7"/>
    <x v="493"/>
    <x v="1"/>
    <x v="9"/>
    <x v="0"/>
    <n v="76680"/>
  </r>
  <r>
    <s v="CSKU12002_2ES"/>
    <x v="2"/>
    <x v="1"/>
    <x v="1"/>
    <x v="0"/>
    <x v="1"/>
    <x v="7"/>
    <x v="493"/>
    <x v="1"/>
    <x v="9"/>
    <x v="0"/>
    <n v="89950"/>
  </r>
  <r>
    <s v="CSKU12003_2ES"/>
    <x v="2"/>
    <x v="1"/>
    <x v="1"/>
    <x v="7"/>
    <x v="4"/>
    <x v="7"/>
    <x v="493"/>
    <x v="1"/>
    <x v="9"/>
    <x v="0"/>
    <n v="80660"/>
  </r>
  <r>
    <s v="CSKU12004_2ES"/>
    <x v="2"/>
    <x v="1"/>
    <x v="1"/>
    <x v="7"/>
    <x v="1"/>
    <x v="7"/>
    <x v="493"/>
    <x v="1"/>
    <x v="9"/>
    <x v="0"/>
    <n v="93930"/>
  </r>
  <r>
    <s v="CSKU11677_2ES"/>
    <x v="2"/>
    <x v="1"/>
    <x v="1"/>
    <x v="0"/>
    <x v="4"/>
    <x v="7"/>
    <x v="400"/>
    <x v="1"/>
    <x v="9"/>
    <x v="0"/>
    <n v="80980"/>
  </r>
  <r>
    <s v="CSKU11678_2ES"/>
    <x v="2"/>
    <x v="1"/>
    <x v="1"/>
    <x v="0"/>
    <x v="1"/>
    <x v="7"/>
    <x v="400"/>
    <x v="1"/>
    <x v="9"/>
    <x v="0"/>
    <n v="95440"/>
  </r>
  <r>
    <s v="CSKU11679_2ES"/>
    <x v="2"/>
    <x v="1"/>
    <x v="1"/>
    <x v="7"/>
    <x v="4"/>
    <x v="7"/>
    <x v="400"/>
    <x v="1"/>
    <x v="9"/>
    <x v="0"/>
    <n v="84960"/>
  </r>
  <r>
    <s v="CSKU11680_2ES"/>
    <x v="2"/>
    <x v="1"/>
    <x v="1"/>
    <x v="7"/>
    <x v="1"/>
    <x v="7"/>
    <x v="400"/>
    <x v="1"/>
    <x v="9"/>
    <x v="0"/>
    <n v="99420"/>
  </r>
  <r>
    <s v="CSKU11710_2ES"/>
    <x v="2"/>
    <x v="1"/>
    <x v="0"/>
    <x v="7"/>
    <x v="1"/>
    <x v="7"/>
    <x v="392"/>
    <x v="0"/>
    <x v="9"/>
    <x v="0"/>
    <n v="94100"/>
  </r>
  <r>
    <s v="CSKU11711_2ES"/>
    <x v="2"/>
    <x v="1"/>
    <x v="1"/>
    <x v="4"/>
    <x v="4"/>
    <x v="7"/>
    <x v="392"/>
    <x v="1"/>
    <x v="9"/>
    <x v="0"/>
    <n v="77020"/>
  </r>
  <r>
    <s v="CSKU11712_2ES"/>
    <x v="2"/>
    <x v="1"/>
    <x v="1"/>
    <x v="4"/>
    <x v="1"/>
    <x v="7"/>
    <x v="392"/>
    <x v="1"/>
    <x v="9"/>
    <x v="0"/>
    <n v="91480"/>
  </r>
  <r>
    <s v="CSKU11713_2ES"/>
    <x v="2"/>
    <x v="1"/>
    <x v="1"/>
    <x v="0"/>
    <x v="4"/>
    <x v="7"/>
    <x v="392"/>
    <x v="1"/>
    <x v="9"/>
    <x v="0"/>
    <n v="80980"/>
  </r>
  <r>
    <s v="CSKU11714_2ES"/>
    <x v="2"/>
    <x v="1"/>
    <x v="1"/>
    <x v="0"/>
    <x v="1"/>
    <x v="7"/>
    <x v="392"/>
    <x v="1"/>
    <x v="9"/>
    <x v="0"/>
    <n v="95440"/>
  </r>
  <r>
    <s v="CSKU11715_2ES"/>
    <x v="2"/>
    <x v="1"/>
    <x v="1"/>
    <x v="7"/>
    <x v="4"/>
    <x v="7"/>
    <x v="392"/>
    <x v="1"/>
    <x v="9"/>
    <x v="0"/>
    <n v="84960"/>
  </r>
  <r>
    <s v="CSKU11716_2ES"/>
    <x v="2"/>
    <x v="1"/>
    <x v="1"/>
    <x v="7"/>
    <x v="1"/>
    <x v="7"/>
    <x v="392"/>
    <x v="1"/>
    <x v="9"/>
    <x v="0"/>
    <n v="99420"/>
  </r>
  <r>
    <s v="CSKU11750_2ES"/>
    <x v="2"/>
    <x v="1"/>
    <x v="1"/>
    <x v="0"/>
    <x v="1"/>
    <x v="7"/>
    <x v="393"/>
    <x v="1"/>
    <x v="9"/>
    <x v="0"/>
    <n v="89950"/>
  </r>
  <r>
    <s v="CSKU11751_2ES"/>
    <x v="2"/>
    <x v="1"/>
    <x v="1"/>
    <x v="7"/>
    <x v="4"/>
    <x v="7"/>
    <x v="393"/>
    <x v="1"/>
    <x v="9"/>
    <x v="0"/>
    <n v="80660"/>
  </r>
  <r>
    <s v="CSKU11752_2ES"/>
    <x v="2"/>
    <x v="1"/>
    <x v="1"/>
    <x v="7"/>
    <x v="1"/>
    <x v="7"/>
    <x v="393"/>
    <x v="1"/>
    <x v="9"/>
    <x v="0"/>
    <n v="93930"/>
  </r>
  <r>
    <s v="CSKU12173_2ES"/>
    <x v="2"/>
    <x v="1"/>
    <x v="0"/>
    <x v="4"/>
    <x v="4"/>
    <x v="7"/>
    <x v="150"/>
    <x v="0"/>
    <x v="9"/>
    <x v="0"/>
    <n v="60500"/>
  </r>
  <r>
    <s v="CSKU12174_2ES"/>
    <x v="2"/>
    <x v="1"/>
    <x v="0"/>
    <x v="0"/>
    <x v="4"/>
    <x v="7"/>
    <x v="150"/>
    <x v="0"/>
    <x v="9"/>
    <x v="0"/>
    <n v="64030"/>
  </r>
  <r>
    <s v="CSKU11777_2ES"/>
    <x v="2"/>
    <x v="1"/>
    <x v="0"/>
    <x v="4"/>
    <x v="4"/>
    <x v="7"/>
    <x v="146"/>
    <x v="0"/>
    <x v="9"/>
    <x v="0"/>
    <n v="73400"/>
  </r>
  <r>
    <s v="CSKU11778_2ES"/>
    <x v="2"/>
    <x v="1"/>
    <x v="0"/>
    <x v="0"/>
    <x v="4"/>
    <x v="7"/>
    <x v="146"/>
    <x v="0"/>
    <x v="9"/>
    <x v="0"/>
    <n v="76930"/>
  </r>
  <r>
    <s v="CSKU11779_2ES"/>
    <x v="2"/>
    <x v="1"/>
    <x v="0"/>
    <x v="7"/>
    <x v="4"/>
    <x v="7"/>
    <x v="146"/>
    <x v="0"/>
    <x v="9"/>
    <x v="0"/>
    <n v="80500"/>
  </r>
  <r>
    <s v="CSKU11780_2ES"/>
    <x v="2"/>
    <x v="1"/>
    <x v="0"/>
    <x v="4"/>
    <x v="1"/>
    <x v="7"/>
    <x v="146"/>
    <x v="0"/>
    <x v="9"/>
    <x v="0"/>
    <n v="87020"/>
  </r>
  <r>
    <s v="CSKU11781_2ES"/>
    <x v="2"/>
    <x v="1"/>
    <x v="0"/>
    <x v="0"/>
    <x v="1"/>
    <x v="7"/>
    <x v="146"/>
    <x v="0"/>
    <x v="9"/>
    <x v="0"/>
    <n v="90550"/>
  </r>
  <r>
    <s v="CSKU12497_2ES"/>
    <x v="2"/>
    <x v="1"/>
    <x v="0"/>
    <x v="4"/>
    <x v="4"/>
    <x v="7"/>
    <x v="486"/>
    <x v="0"/>
    <x v="9"/>
    <x v="0"/>
    <n v="69100"/>
  </r>
  <r>
    <s v="CSKU12498_2ES"/>
    <x v="2"/>
    <x v="1"/>
    <x v="0"/>
    <x v="0"/>
    <x v="4"/>
    <x v="7"/>
    <x v="486"/>
    <x v="0"/>
    <x v="9"/>
    <x v="0"/>
    <n v="72630"/>
  </r>
  <r>
    <s v="CSKU12499_2ES"/>
    <x v="2"/>
    <x v="1"/>
    <x v="0"/>
    <x v="7"/>
    <x v="4"/>
    <x v="7"/>
    <x v="486"/>
    <x v="0"/>
    <x v="9"/>
    <x v="0"/>
    <n v="76200"/>
  </r>
  <r>
    <s v="CSKU12500_2ES"/>
    <x v="2"/>
    <x v="1"/>
    <x v="0"/>
    <x v="4"/>
    <x v="1"/>
    <x v="7"/>
    <x v="486"/>
    <x v="0"/>
    <x v="9"/>
    <x v="0"/>
    <n v="81530"/>
  </r>
  <r>
    <s v="CSKU12501_2ES"/>
    <x v="2"/>
    <x v="1"/>
    <x v="0"/>
    <x v="0"/>
    <x v="1"/>
    <x v="7"/>
    <x v="486"/>
    <x v="0"/>
    <x v="9"/>
    <x v="0"/>
    <n v="85060"/>
  </r>
  <r>
    <s v="CSKU12502_2ES"/>
    <x v="2"/>
    <x v="1"/>
    <x v="0"/>
    <x v="7"/>
    <x v="1"/>
    <x v="7"/>
    <x v="486"/>
    <x v="0"/>
    <x v="9"/>
    <x v="0"/>
    <n v="88610"/>
  </r>
  <r>
    <s v="CSKU12503_2ES"/>
    <x v="2"/>
    <x v="1"/>
    <x v="1"/>
    <x v="4"/>
    <x v="4"/>
    <x v="7"/>
    <x v="486"/>
    <x v="1"/>
    <x v="9"/>
    <x v="0"/>
    <n v="72720"/>
  </r>
  <r>
    <s v="CSKU11849_2ES"/>
    <x v="2"/>
    <x v="1"/>
    <x v="0"/>
    <x v="4"/>
    <x v="4"/>
    <x v="7"/>
    <x v="148"/>
    <x v="0"/>
    <x v="9"/>
    <x v="0"/>
    <n v="67930"/>
  </r>
  <r>
    <s v="CSKU11850_2ES"/>
    <x v="2"/>
    <x v="1"/>
    <x v="0"/>
    <x v="0"/>
    <x v="4"/>
    <x v="7"/>
    <x v="148"/>
    <x v="0"/>
    <x v="9"/>
    <x v="0"/>
    <n v="71460"/>
  </r>
  <r>
    <s v="CSKU11851_2ES"/>
    <x v="2"/>
    <x v="1"/>
    <x v="0"/>
    <x v="7"/>
    <x v="4"/>
    <x v="7"/>
    <x v="148"/>
    <x v="0"/>
    <x v="9"/>
    <x v="0"/>
    <n v="75030"/>
  </r>
  <r>
    <s v="CSKU11852_2ES"/>
    <x v="2"/>
    <x v="1"/>
    <x v="0"/>
    <x v="4"/>
    <x v="1"/>
    <x v="7"/>
    <x v="148"/>
    <x v="0"/>
    <x v="9"/>
    <x v="0"/>
    <n v="80220"/>
  </r>
  <r>
    <s v="CSKU11853_2ES"/>
    <x v="2"/>
    <x v="1"/>
    <x v="0"/>
    <x v="0"/>
    <x v="1"/>
    <x v="7"/>
    <x v="148"/>
    <x v="0"/>
    <x v="9"/>
    <x v="0"/>
    <n v="83750"/>
  </r>
  <r>
    <s v="CSKU11854_2ES"/>
    <x v="2"/>
    <x v="1"/>
    <x v="0"/>
    <x v="7"/>
    <x v="1"/>
    <x v="7"/>
    <x v="148"/>
    <x v="0"/>
    <x v="9"/>
    <x v="0"/>
    <n v="87300"/>
  </r>
  <r>
    <s v="CSKU11924_2ES"/>
    <x v="2"/>
    <x v="1"/>
    <x v="0"/>
    <x v="4"/>
    <x v="1"/>
    <x v="7"/>
    <x v="496"/>
    <x v="0"/>
    <x v="9"/>
    <x v="0"/>
    <n v="87020"/>
  </r>
  <r>
    <s v="CSKU11525_2ES"/>
    <x v="2"/>
    <x v="1"/>
    <x v="0"/>
    <x v="4"/>
    <x v="4"/>
    <x v="7"/>
    <x v="497"/>
    <x v="0"/>
    <x v="9"/>
    <x v="0"/>
    <n v="73400"/>
  </r>
  <r>
    <s v="CSKU11561_2ES"/>
    <x v="2"/>
    <x v="1"/>
    <x v="0"/>
    <x v="4"/>
    <x v="4"/>
    <x v="7"/>
    <x v="498"/>
    <x v="0"/>
    <x v="9"/>
    <x v="0"/>
    <n v="69100"/>
  </r>
  <r>
    <s v="CSKU11562_2ES"/>
    <x v="2"/>
    <x v="1"/>
    <x v="0"/>
    <x v="0"/>
    <x v="4"/>
    <x v="7"/>
    <x v="498"/>
    <x v="0"/>
    <x v="9"/>
    <x v="0"/>
    <n v="72630"/>
  </r>
  <r>
    <s v="CSKU11563_2ES"/>
    <x v="2"/>
    <x v="1"/>
    <x v="0"/>
    <x v="7"/>
    <x v="4"/>
    <x v="7"/>
    <x v="498"/>
    <x v="0"/>
    <x v="9"/>
    <x v="0"/>
    <n v="76200"/>
  </r>
  <r>
    <s v="CSKU11564_2ES"/>
    <x v="2"/>
    <x v="1"/>
    <x v="0"/>
    <x v="4"/>
    <x v="1"/>
    <x v="7"/>
    <x v="498"/>
    <x v="0"/>
    <x v="9"/>
    <x v="0"/>
    <n v="81530"/>
  </r>
  <r>
    <s v="CSKU11565_2ES"/>
    <x v="2"/>
    <x v="1"/>
    <x v="0"/>
    <x v="0"/>
    <x v="1"/>
    <x v="7"/>
    <x v="498"/>
    <x v="0"/>
    <x v="9"/>
    <x v="0"/>
    <n v="85060"/>
  </r>
  <r>
    <s v="CSKU11642_2ES"/>
    <x v="2"/>
    <x v="1"/>
    <x v="1"/>
    <x v="4"/>
    <x v="1"/>
    <x v="7"/>
    <x v="407"/>
    <x v="1"/>
    <x v="9"/>
    <x v="0"/>
    <n v="82040"/>
  </r>
  <r>
    <s v="CSKU11643_2ES"/>
    <x v="2"/>
    <x v="1"/>
    <x v="1"/>
    <x v="0"/>
    <x v="1"/>
    <x v="7"/>
    <x v="407"/>
    <x v="1"/>
    <x v="9"/>
    <x v="0"/>
    <n v="86000"/>
  </r>
  <r>
    <s v="CSKU11644_2ES"/>
    <x v="2"/>
    <x v="1"/>
    <x v="1"/>
    <x v="7"/>
    <x v="1"/>
    <x v="7"/>
    <x v="407"/>
    <x v="1"/>
    <x v="9"/>
    <x v="0"/>
    <n v="89980"/>
  </r>
  <r>
    <s v="CSKU11885_2ES"/>
    <x v="2"/>
    <x v="1"/>
    <x v="0"/>
    <x v="4"/>
    <x v="4"/>
    <x v="7"/>
    <x v="494"/>
    <x v="0"/>
    <x v="9"/>
    <x v="0"/>
    <n v="65270"/>
  </r>
  <r>
    <s v="CSKU11886_2ES"/>
    <x v="2"/>
    <x v="1"/>
    <x v="0"/>
    <x v="0"/>
    <x v="4"/>
    <x v="7"/>
    <x v="494"/>
    <x v="0"/>
    <x v="9"/>
    <x v="0"/>
    <n v="68800"/>
  </r>
  <r>
    <s v="CSKU11887_2ES"/>
    <x v="2"/>
    <x v="1"/>
    <x v="0"/>
    <x v="7"/>
    <x v="4"/>
    <x v="7"/>
    <x v="494"/>
    <x v="0"/>
    <x v="9"/>
    <x v="0"/>
    <n v="72370"/>
  </r>
  <r>
    <s v="CSKU11888_2ES"/>
    <x v="2"/>
    <x v="1"/>
    <x v="0"/>
    <x v="4"/>
    <x v="1"/>
    <x v="7"/>
    <x v="494"/>
    <x v="0"/>
    <x v="9"/>
    <x v="0"/>
    <n v="77260"/>
  </r>
  <r>
    <s v="CSKU11889_2ES"/>
    <x v="2"/>
    <x v="1"/>
    <x v="0"/>
    <x v="0"/>
    <x v="1"/>
    <x v="7"/>
    <x v="494"/>
    <x v="0"/>
    <x v="9"/>
    <x v="0"/>
    <n v="80790"/>
  </r>
  <r>
    <s v="CSKU11890_2ES"/>
    <x v="2"/>
    <x v="1"/>
    <x v="0"/>
    <x v="7"/>
    <x v="1"/>
    <x v="7"/>
    <x v="494"/>
    <x v="0"/>
    <x v="9"/>
    <x v="0"/>
    <n v="84340"/>
  </r>
  <r>
    <s v="CSKU11925_2ES"/>
    <x v="2"/>
    <x v="1"/>
    <x v="0"/>
    <x v="0"/>
    <x v="1"/>
    <x v="7"/>
    <x v="496"/>
    <x v="0"/>
    <x v="9"/>
    <x v="0"/>
    <n v="90550"/>
  </r>
  <r>
    <s v="CSKU11926_2ES"/>
    <x v="2"/>
    <x v="1"/>
    <x v="0"/>
    <x v="7"/>
    <x v="1"/>
    <x v="7"/>
    <x v="496"/>
    <x v="0"/>
    <x v="9"/>
    <x v="0"/>
    <n v="94100"/>
  </r>
  <r>
    <s v="CSKU11927_2ES"/>
    <x v="2"/>
    <x v="1"/>
    <x v="1"/>
    <x v="4"/>
    <x v="4"/>
    <x v="7"/>
    <x v="496"/>
    <x v="1"/>
    <x v="9"/>
    <x v="0"/>
    <n v="77020"/>
  </r>
  <r>
    <s v="CSKU11928_2ES"/>
    <x v="2"/>
    <x v="1"/>
    <x v="1"/>
    <x v="4"/>
    <x v="1"/>
    <x v="7"/>
    <x v="496"/>
    <x v="1"/>
    <x v="9"/>
    <x v="0"/>
    <n v="91480"/>
  </r>
  <r>
    <s v="CSKU11929_2ES"/>
    <x v="2"/>
    <x v="1"/>
    <x v="1"/>
    <x v="0"/>
    <x v="4"/>
    <x v="7"/>
    <x v="496"/>
    <x v="1"/>
    <x v="9"/>
    <x v="0"/>
    <n v="80980"/>
  </r>
  <r>
    <s v="CSKU11930_2ES"/>
    <x v="2"/>
    <x v="1"/>
    <x v="1"/>
    <x v="0"/>
    <x v="1"/>
    <x v="7"/>
    <x v="496"/>
    <x v="1"/>
    <x v="9"/>
    <x v="0"/>
    <n v="95440"/>
  </r>
  <r>
    <s v="CSKU11931_2ES"/>
    <x v="2"/>
    <x v="1"/>
    <x v="1"/>
    <x v="7"/>
    <x v="4"/>
    <x v="7"/>
    <x v="496"/>
    <x v="1"/>
    <x v="9"/>
    <x v="0"/>
    <n v="84960"/>
  </r>
  <r>
    <s v="CSKU11932_2ES"/>
    <x v="2"/>
    <x v="1"/>
    <x v="1"/>
    <x v="7"/>
    <x v="1"/>
    <x v="7"/>
    <x v="496"/>
    <x v="1"/>
    <x v="9"/>
    <x v="0"/>
    <n v="99420"/>
  </r>
  <r>
    <s v="CSKU11526_2ES"/>
    <x v="2"/>
    <x v="1"/>
    <x v="0"/>
    <x v="0"/>
    <x v="4"/>
    <x v="7"/>
    <x v="497"/>
    <x v="0"/>
    <x v="9"/>
    <x v="0"/>
    <n v="76930"/>
  </r>
  <r>
    <s v="CSKU11566_2ES"/>
    <x v="2"/>
    <x v="1"/>
    <x v="0"/>
    <x v="7"/>
    <x v="1"/>
    <x v="7"/>
    <x v="498"/>
    <x v="0"/>
    <x v="9"/>
    <x v="0"/>
    <n v="88610"/>
  </r>
  <r>
    <s v="CSKU11527_2ES"/>
    <x v="2"/>
    <x v="1"/>
    <x v="0"/>
    <x v="7"/>
    <x v="4"/>
    <x v="7"/>
    <x v="497"/>
    <x v="0"/>
    <x v="9"/>
    <x v="0"/>
    <n v="80500"/>
  </r>
  <r>
    <s v="CSKU11528_2ES"/>
    <x v="2"/>
    <x v="1"/>
    <x v="0"/>
    <x v="4"/>
    <x v="1"/>
    <x v="7"/>
    <x v="497"/>
    <x v="0"/>
    <x v="9"/>
    <x v="0"/>
    <n v="87020"/>
  </r>
  <r>
    <s v="CSKU11529_2ES"/>
    <x v="2"/>
    <x v="1"/>
    <x v="0"/>
    <x v="0"/>
    <x v="1"/>
    <x v="7"/>
    <x v="497"/>
    <x v="0"/>
    <x v="9"/>
    <x v="0"/>
    <n v="90550"/>
  </r>
  <r>
    <s v="CSKU11530_2ES"/>
    <x v="2"/>
    <x v="1"/>
    <x v="0"/>
    <x v="7"/>
    <x v="1"/>
    <x v="7"/>
    <x v="497"/>
    <x v="0"/>
    <x v="9"/>
    <x v="0"/>
    <n v="94100"/>
  </r>
  <r>
    <s v="CSKU11531_2ES"/>
    <x v="2"/>
    <x v="1"/>
    <x v="1"/>
    <x v="4"/>
    <x v="4"/>
    <x v="7"/>
    <x v="497"/>
    <x v="1"/>
    <x v="9"/>
    <x v="0"/>
    <n v="77020"/>
  </r>
  <r>
    <s v="CSKU11532_2ES"/>
    <x v="2"/>
    <x v="1"/>
    <x v="1"/>
    <x v="4"/>
    <x v="1"/>
    <x v="7"/>
    <x v="497"/>
    <x v="1"/>
    <x v="9"/>
    <x v="0"/>
    <n v="91480"/>
  </r>
  <r>
    <s v="CSKU11533_2ES"/>
    <x v="2"/>
    <x v="1"/>
    <x v="1"/>
    <x v="0"/>
    <x v="4"/>
    <x v="7"/>
    <x v="497"/>
    <x v="1"/>
    <x v="9"/>
    <x v="0"/>
    <n v="80980"/>
  </r>
  <r>
    <s v="CSKU11534_2ES"/>
    <x v="2"/>
    <x v="1"/>
    <x v="1"/>
    <x v="0"/>
    <x v="1"/>
    <x v="7"/>
    <x v="497"/>
    <x v="1"/>
    <x v="9"/>
    <x v="0"/>
    <n v="95440"/>
  </r>
  <r>
    <s v="CSKU11567_2ES"/>
    <x v="2"/>
    <x v="1"/>
    <x v="1"/>
    <x v="4"/>
    <x v="4"/>
    <x v="7"/>
    <x v="498"/>
    <x v="1"/>
    <x v="9"/>
    <x v="0"/>
    <n v="72720"/>
  </r>
  <r>
    <s v="CSKU11568_2ES"/>
    <x v="2"/>
    <x v="1"/>
    <x v="1"/>
    <x v="4"/>
    <x v="1"/>
    <x v="7"/>
    <x v="498"/>
    <x v="1"/>
    <x v="9"/>
    <x v="0"/>
    <n v="85990"/>
  </r>
  <r>
    <s v="CSKU11569_2ES"/>
    <x v="2"/>
    <x v="1"/>
    <x v="1"/>
    <x v="0"/>
    <x v="4"/>
    <x v="7"/>
    <x v="498"/>
    <x v="1"/>
    <x v="9"/>
    <x v="0"/>
    <n v="76680"/>
  </r>
  <r>
    <s v="CSKU11570_2ES"/>
    <x v="2"/>
    <x v="1"/>
    <x v="1"/>
    <x v="0"/>
    <x v="1"/>
    <x v="7"/>
    <x v="498"/>
    <x v="1"/>
    <x v="9"/>
    <x v="0"/>
    <n v="89950"/>
  </r>
  <r>
    <s v="CSKU11571_2ES"/>
    <x v="2"/>
    <x v="1"/>
    <x v="1"/>
    <x v="7"/>
    <x v="4"/>
    <x v="7"/>
    <x v="498"/>
    <x v="1"/>
    <x v="9"/>
    <x v="0"/>
    <n v="80660"/>
  </r>
  <r>
    <s v="CSKU11572_2ES"/>
    <x v="2"/>
    <x v="1"/>
    <x v="1"/>
    <x v="7"/>
    <x v="1"/>
    <x v="7"/>
    <x v="498"/>
    <x v="1"/>
    <x v="9"/>
    <x v="0"/>
    <n v="93930"/>
  </r>
  <r>
    <s v="CSKU11597_2ES"/>
    <x v="2"/>
    <x v="1"/>
    <x v="0"/>
    <x v="4"/>
    <x v="4"/>
    <x v="7"/>
    <x v="145"/>
    <x v="0"/>
    <x v="9"/>
    <x v="0"/>
    <n v="67930"/>
  </r>
  <r>
    <s v="CSKU11598_2ES"/>
    <x v="2"/>
    <x v="1"/>
    <x v="0"/>
    <x v="0"/>
    <x v="4"/>
    <x v="7"/>
    <x v="145"/>
    <x v="0"/>
    <x v="9"/>
    <x v="0"/>
    <n v="71460"/>
  </r>
  <r>
    <s v="CSKU11417_2ES"/>
    <x v="2"/>
    <x v="1"/>
    <x v="0"/>
    <x v="4"/>
    <x v="4"/>
    <x v="7"/>
    <x v="144"/>
    <x v="0"/>
    <x v="9"/>
    <x v="0"/>
    <n v="49010"/>
  </r>
  <r>
    <s v="CSKU11418_2ES"/>
    <x v="2"/>
    <x v="1"/>
    <x v="0"/>
    <x v="0"/>
    <x v="4"/>
    <x v="7"/>
    <x v="144"/>
    <x v="0"/>
    <x v="9"/>
    <x v="0"/>
    <n v="52540"/>
  </r>
  <r>
    <s v="CSKU11419_2ES"/>
    <x v="2"/>
    <x v="1"/>
    <x v="0"/>
    <x v="7"/>
    <x v="4"/>
    <x v="7"/>
    <x v="144"/>
    <x v="0"/>
    <x v="9"/>
    <x v="0"/>
    <n v="56110"/>
  </r>
  <r>
    <s v="CSKU11420_2ES"/>
    <x v="2"/>
    <x v="1"/>
    <x v="0"/>
    <x v="4"/>
    <x v="1"/>
    <x v="7"/>
    <x v="144"/>
    <x v="0"/>
    <x v="9"/>
    <x v="0"/>
    <n v="57740"/>
  </r>
  <r>
    <s v="CSKU11421_2ES"/>
    <x v="2"/>
    <x v="1"/>
    <x v="0"/>
    <x v="0"/>
    <x v="1"/>
    <x v="7"/>
    <x v="144"/>
    <x v="0"/>
    <x v="9"/>
    <x v="0"/>
    <n v="61270"/>
  </r>
  <r>
    <s v="CSKU11489_2ES"/>
    <x v="2"/>
    <x v="1"/>
    <x v="0"/>
    <x v="4"/>
    <x v="4"/>
    <x v="7"/>
    <x v="499"/>
    <x v="0"/>
    <x v="9"/>
    <x v="0"/>
    <n v="44710"/>
  </r>
  <r>
    <s v="CSKU11490_2ES"/>
    <x v="2"/>
    <x v="1"/>
    <x v="0"/>
    <x v="0"/>
    <x v="4"/>
    <x v="7"/>
    <x v="499"/>
    <x v="0"/>
    <x v="9"/>
    <x v="0"/>
    <n v="48240"/>
  </r>
  <r>
    <s v="CSKU11491_2ES"/>
    <x v="2"/>
    <x v="1"/>
    <x v="0"/>
    <x v="7"/>
    <x v="4"/>
    <x v="7"/>
    <x v="499"/>
    <x v="0"/>
    <x v="9"/>
    <x v="0"/>
    <n v="51810"/>
  </r>
  <r>
    <s v="CSKU11459_2ES"/>
    <x v="2"/>
    <x v="1"/>
    <x v="1"/>
    <x v="4"/>
    <x v="4"/>
    <x v="7"/>
    <x v="500"/>
    <x v="1"/>
    <x v="9"/>
    <x v="0"/>
    <n v="53590"/>
  </r>
  <r>
    <s v="CSKU11460_2ES"/>
    <x v="2"/>
    <x v="1"/>
    <x v="1"/>
    <x v="0"/>
    <x v="4"/>
    <x v="7"/>
    <x v="500"/>
    <x v="1"/>
    <x v="9"/>
    <x v="0"/>
    <n v="57550"/>
  </r>
  <r>
    <s v="CSKU11461_2ES"/>
    <x v="2"/>
    <x v="1"/>
    <x v="1"/>
    <x v="7"/>
    <x v="4"/>
    <x v="7"/>
    <x v="500"/>
    <x v="1"/>
    <x v="9"/>
    <x v="0"/>
    <n v="61530"/>
  </r>
  <r>
    <s v="CSKU11462_2ES"/>
    <x v="2"/>
    <x v="1"/>
    <x v="1"/>
    <x v="4"/>
    <x v="1"/>
    <x v="7"/>
    <x v="500"/>
    <x v="1"/>
    <x v="9"/>
    <x v="0"/>
    <n v="63160"/>
  </r>
  <r>
    <s v="CSKU11463_2ES"/>
    <x v="2"/>
    <x v="1"/>
    <x v="1"/>
    <x v="0"/>
    <x v="1"/>
    <x v="7"/>
    <x v="500"/>
    <x v="1"/>
    <x v="9"/>
    <x v="0"/>
    <n v="67120"/>
  </r>
  <r>
    <s v="CSKU11464_2ES"/>
    <x v="2"/>
    <x v="1"/>
    <x v="1"/>
    <x v="7"/>
    <x v="1"/>
    <x v="7"/>
    <x v="500"/>
    <x v="1"/>
    <x v="9"/>
    <x v="0"/>
    <n v="71100"/>
  </r>
  <r>
    <s v="CSKU11492_2ES"/>
    <x v="2"/>
    <x v="1"/>
    <x v="0"/>
    <x v="4"/>
    <x v="1"/>
    <x v="7"/>
    <x v="499"/>
    <x v="0"/>
    <x v="9"/>
    <x v="0"/>
    <n v="52250"/>
  </r>
  <r>
    <s v="CSKU11535_2ES"/>
    <x v="2"/>
    <x v="1"/>
    <x v="1"/>
    <x v="7"/>
    <x v="4"/>
    <x v="7"/>
    <x v="497"/>
    <x v="1"/>
    <x v="9"/>
    <x v="0"/>
    <n v="84960"/>
  </r>
  <r>
    <s v="CSKU11493_2ES"/>
    <x v="2"/>
    <x v="1"/>
    <x v="0"/>
    <x v="0"/>
    <x v="1"/>
    <x v="7"/>
    <x v="499"/>
    <x v="0"/>
    <x v="9"/>
    <x v="0"/>
    <n v="55780"/>
  </r>
  <r>
    <s v="CSKU11494_2ES"/>
    <x v="2"/>
    <x v="1"/>
    <x v="0"/>
    <x v="7"/>
    <x v="1"/>
    <x v="7"/>
    <x v="499"/>
    <x v="0"/>
    <x v="9"/>
    <x v="0"/>
    <n v="59330"/>
  </r>
  <r>
    <s v="CSKU11495_2ES"/>
    <x v="2"/>
    <x v="1"/>
    <x v="1"/>
    <x v="4"/>
    <x v="4"/>
    <x v="7"/>
    <x v="499"/>
    <x v="1"/>
    <x v="9"/>
    <x v="0"/>
    <n v="49290"/>
  </r>
  <r>
    <s v="CSKU11496_2ES"/>
    <x v="2"/>
    <x v="1"/>
    <x v="1"/>
    <x v="0"/>
    <x v="4"/>
    <x v="7"/>
    <x v="499"/>
    <x v="1"/>
    <x v="9"/>
    <x v="0"/>
    <n v="53250"/>
  </r>
  <r>
    <s v="CSKU11497_2ES"/>
    <x v="2"/>
    <x v="1"/>
    <x v="1"/>
    <x v="7"/>
    <x v="4"/>
    <x v="7"/>
    <x v="499"/>
    <x v="1"/>
    <x v="9"/>
    <x v="0"/>
    <n v="57230"/>
  </r>
  <r>
    <s v="CSKU11498_2ES"/>
    <x v="2"/>
    <x v="1"/>
    <x v="1"/>
    <x v="4"/>
    <x v="1"/>
    <x v="7"/>
    <x v="499"/>
    <x v="1"/>
    <x v="9"/>
    <x v="0"/>
    <n v="57670"/>
  </r>
  <r>
    <s v="CSKU11499_2ES"/>
    <x v="2"/>
    <x v="1"/>
    <x v="1"/>
    <x v="0"/>
    <x v="1"/>
    <x v="7"/>
    <x v="499"/>
    <x v="1"/>
    <x v="9"/>
    <x v="0"/>
    <n v="61630"/>
  </r>
  <r>
    <s v="CSKU11500_2ES"/>
    <x v="2"/>
    <x v="1"/>
    <x v="1"/>
    <x v="7"/>
    <x v="1"/>
    <x v="7"/>
    <x v="499"/>
    <x v="1"/>
    <x v="9"/>
    <x v="0"/>
    <n v="65610"/>
  </r>
  <r>
    <s v="CSKU11536_2ES"/>
    <x v="2"/>
    <x v="1"/>
    <x v="1"/>
    <x v="7"/>
    <x v="1"/>
    <x v="7"/>
    <x v="497"/>
    <x v="1"/>
    <x v="9"/>
    <x v="0"/>
    <n v="99420"/>
  </r>
  <r>
    <s v="CSKU12291_2ES"/>
    <x v="2"/>
    <x v="1"/>
    <x v="1"/>
    <x v="7"/>
    <x v="4"/>
    <x v="7"/>
    <x v="488"/>
    <x v="1"/>
    <x v="9"/>
    <x v="0"/>
    <n v="84960"/>
  </r>
  <r>
    <s v="CSKU12292_2ES"/>
    <x v="2"/>
    <x v="1"/>
    <x v="1"/>
    <x v="7"/>
    <x v="1"/>
    <x v="7"/>
    <x v="488"/>
    <x v="1"/>
    <x v="9"/>
    <x v="0"/>
    <n v="99420"/>
  </r>
  <r>
    <s v="CSKU11137_2ES"/>
    <x v="2"/>
    <x v="1"/>
    <x v="1"/>
    <x v="0"/>
    <x v="4"/>
    <x v="7"/>
    <x v="398"/>
    <x v="1"/>
    <x v="9"/>
    <x v="0"/>
    <n v="64570"/>
  </r>
  <r>
    <s v="CSKU11138_2ES"/>
    <x v="2"/>
    <x v="1"/>
    <x v="1"/>
    <x v="0"/>
    <x v="1"/>
    <x v="7"/>
    <x v="398"/>
    <x v="1"/>
    <x v="9"/>
    <x v="0"/>
    <n v="75040"/>
  </r>
  <r>
    <s v="CSKU11139_2ES"/>
    <x v="2"/>
    <x v="1"/>
    <x v="1"/>
    <x v="7"/>
    <x v="4"/>
    <x v="7"/>
    <x v="398"/>
    <x v="1"/>
    <x v="9"/>
    <x v="0"/>
    <n v="68550"/>
  </r>
  <r>
    <s v="CSKU11140_2ES"/>
    <x v="2"/>
    <x v="1"/>
    <x v="1"/>
    <x v="7"/>
    <x v="1"/>
    <x v="7"/>
    <x v="398"/>
    <x v="1"/>
    <x v="9"/>
    <x v="0"/>
    <n v="79020"/>
  </r>
  <r>
    <s v="CSKU11237_2ES"/>
    <x v="2"/>
    <x v="1"/>
    <x v="0"/>
    <x v="4"/>
    <x v="4"/>
    <x v="7"/>
    <x v="501"/>
    <x v="0"/>
    <x v="9"/>
    <x v="0"/>
    <n v="52690"/>
  </r>
  <r>
    <s v="CSKU11275_2ES"/>
    <x v="2"/>
    <x v="1"/>
    <x v="0"/>
    <x v="7"/>
    <x v="4"/>
    <x v="7"/>
    <x v="399"/>
    <x v="0"/>
    <x v="9"/>
    <x v="0"/>
    <n v="56110"/>
  </r>
  <r>
    <s v="CSKU11276_2ES"/>
    <x v="2"/>
    <x v="1"/>
    <x v="0"/>
    <x v="4"/>
    <x v="1"/>
    <x v="7"/>
    <x v="399"/>
    <x v="0"/>
    <x v="9"/>
    <x v="0"/>
    <n v="57740"/>
  </r>
  <r>
    <s v="CSKU11277_2ES"/>
    <x v="2"/>
    <x v="1"/>
    <x v="0"/>
    <x v="0"/>
    <x v="1"/>
    <x v="7"/>
    <x v="399"/>
    <x v="0"/>
    <x v="9"/>
    <x v="0"/>
    <n v="61270"/>
  </r>
  <r>
    <s v="CSKU11278_2ES"/>
    <x v="2"/>
    <x v="1"/>
    <x v="0"/>
    <x v="7"/>
    <x v="1"/>
    <x v="7"/>
    <x v="399"/>
    <x v="0"/>
    <x v="9"/>
    <x v="0"/>
    <n v="64820"/>
  </r>
  <r>
    <s v="CSKU11279_2ES"/>
    <x v="2"/>
    <x v="1"/>
    <x v="1"/>
    <x v="4"/>
    <x v="4"/>
    <x v="7"/>
    <x v="399"/>
    <x v="1"/>
    <x v="9"/>
    <x v="0"/>
    <n v="53590"/>
  </r>
  <r>
    <s v="CSKU11280_2ES"/>
    <x v="2"/>
    <x v="1"/>
    <x v="1"/>
    <x v="0"/>
    <x v="4"/>
    <x v="7"/>
    <x v="399"/>
    <x v="1"/>
    <x v="9"/>
    <x v="0"/>
    <n v="57550"/>
  </r>
  <r>
    <s v="CSKU11281_2ES"/>
    <x v="2"/>
    <x v="1"/>
    <x v="1"/>
    <x v="7"/>
    <x v="4"/>
    <x v="7"/>
    <x v="399"/>
    <x v="1"/>
    <x v="9"/>
    <x v="0"/>
    <n v="61530"/>
  </r>
  <r>
    <s v="CSKU11282_2ES"/>
    <x v="2"/>
    <x v="1"/>
    <x v="1"/>
    <x v="4"/>
    <x v="1"/>
    <x v="7"/>
    <x v="399"/>
    <x v="1"/>
    <x v="9"/>
    <x v="0"/>
    <n v="63160"/>
  </r>
  <r>
    <s v="CSKU11283_2ES"/>
    <x v="2"/>
    <x v="1"/>
    <x v="1"/>
    <x v="0"/>
    <x v="1"/>
    <x v="7"/>
    <x v="399"/>
    <x v="1"/>
    <x v="9"/>
    <x v="0"/>
    <n v="67120"/>
  </r>
  <r>
    <s v="CSKU11386_2ES"/>
    <x v="2"/>
    <x v="1"/>
    <x v="0"/>
    <x v="7"/>
    <x v="1"/>
    <x v="7"/>
    <x v="401"/>
    <x v="0"/>
    <x v="9"/>
    <x v="0"/>
    <n v="64820"/>
  </r>
  <r>
    <s v="CSKU11387_2ES"/>
    <x v="2"/>
    <x v="1"/>
    <x v="1"/>
    <x v="4"/>
    <x v="4"/>
    <x v="7"/>
    <x v="401"/>
    <x v="1"/>
    <x v="9"/>
    <x v="0"/>
    <n v="53590"/>
  </r>
  <r>
    <s v="CSKU11388_2ES"/>
    <x v="2"/>
    <x v="1"/>
    <x v="1"/>
    <x v="0"/>
    <x v="4"/>
    <x v="7"/>
    <x v="401"/>
    <x v="1"/>
    <x v="9"/>
    <x v="0"/>
    <n v="57550"/>
  </r>
  <r>
    <s v="CSKU11389_2ES"/>
    <x v="2"/>
    <x v="1"/>
    <x v="1"/>
    <x v="7"/>
    <x v="4"/>
    <x v="7"/>
    <x v="401"/>
    <x v="1"/>
    <x v="9"/>
    <x v="0"/>
    <n v="61530"/>
  </r>
  <r>
    <s v="CSKU11390_2ES"/>
    <x v="2"/>
    <x v="1"/>
    <x v="1"/>
    <x v="4"/>
    <x v="1"/>
    <x v="7"/>
    <x v="401"/>
    <x v="1"/>
    <x v="9"/>
    <x v="0"/>
    <n v="63160"/>
  </r>
  <r>
    <s v="CSKU11391_2ES"/>
    <x v="2"/>
    <x v="1"/>
    <x v="1"/>
    <x v="0"/>
    <x v="1"/>
    <x v="7"/>
    <x v="401"/>
    <x v="1"/>
    <x v="9"/>
    <x v="0"/>
    <n v="67120"/>
  </r>
  <r>
    <s v="CSKU11392_2ES"/>
    <x v="2"/>
    <x v="1"/>
    <x v="1"/>
    <x v="7"/>
    <x v="1"/>
    <x v="7"/>
    <x v="401"/>
    <x v="1"/>
    <x v="9"/>
    <x v="0"/>
    <n v="71100"/>
  </r>
  <r>
    <s v="CSKU11284_2ES"/>
    <x v="2"/>
    <x v="1"/>
    <x v="1"/>
    <x v="7"/>
    <x v="1"/>
    <x v="7"/>
    <x v="399"/>
    <x v="1"/>
    <x v="9"/>
    <x v="0"/>
    <n v="71100"/>
  </r>
  <r>
    <s v="CSKU11345_2ES"/>
    <x v="2"/>
    <x v="1"/>
    <x v="0"/>
    <x v="4"/>
    <x v="4"/>
    <x v="7"/>
    <x v="502"/>
    <x v="0"/>
    <x v="9"/>
    <x v="0"/>
    <n v="43540"/>
  </r>
  <r>
    <s v="CSKU11346_2ES"/>
    <x v="2"/>
    <x v="1"/>
    <x v="0"/>
    <x v="0"/>
    <x v="4"/>
    <x v="7"/>
    <x v="502"/>
    <x v="0"/>
    <x v="9"/>
    <x v="0"/>
    <n v="47070"/>
  </r>
  <r>
    <s v="CSKU11312_2ES"/>
    <x v="2"/>
    <x v="1"/>
    <x v="0"/>
    <x v="4"/>
    <x v="1"/>
    <x v="7"/>
    <x v="143"/>
    <x v="0"/>
    <x v="9"/>
    <x v="0"/>
    <n v="52250"/>
  </r>
  <r>
    <s v="CSKU11313_2ES"/>
    <x v="2"/>
    <x v="1"/>
    <x v="0"/>
    <x v="0"/>
    <x v="1"/>
    <x v="7"/>
    <x v="143"/>
    <x v="0"/>
    <x v="9"/>
    <x v="0"/>
    <n v="55780"/>
  </r>
  <r>
    <s v="CSKU11314_2ES"/>
    <x v="2"/>
    <x v="1"/>
    <x v="0"/>
    <x v="7"/>
    <x v="1"/>
    <x v="7"/>
    <x v="143"/>
    <x v="0"/>
    <x v="9"/>
    <x v="0"/>
    <n v="59330"/>
  </r>
  <r>
    <s v="CSKU11315_2ES"/>
    <x v="2"/>
    <x v="1"/>
    <x v="1"/>
    <x v="4"/>
    <x v="4"/>
    <x v="7"/>
    <x v="143"/>
    <x v="1"/>
    <x v="9"/>
    <x v="0"/>
    <n v="49290"/>
  </r>
  <r>
    <s v="CSKU11316_2ES"/>
    <x v="2"/>
    <x v="1"/>
    <x v="1"/>
    <x v="0"/>
    <x v="4"/>
    <x v="7"/>
    <x v="143"/>
    <x v="1"/>
    <x v="9"/>
    <x v="0"/>
    <n v="53250"/>
  </r>
  <r>
    <s v="CSKU11317_2ES"/>
    <x v="2"/>
    <x v="1"/>
    <x v="1"/>
    <x v="7"/>
    <x v="4"/>
    <x v="7"/>
    <x v="143"/>
    <x v="1"/>
    <x v="9"/>
    <x v="0"/>
    <n v="57230"/>
  </r>
  <r>
    <s v="CSKU11347_2ES"/>
    <x v="2"/>
    <x v="1"/>
    <x v="0"/>
    <x v="7"/>
    <x v="4"/>
    <x v="7"/>
    <x v="502"/>
    <x v="0"/>
    <x v="9"/>
    <x v="0"/>
    <n v="50640"/>
  </r>
  <r>
    <s v="CSKU11348_2ES"/>
    <x v="2"/>
    <x v="1"/>
    <x v="0"/>
    <x v="4"/>
    <x v="1"/>
    <x v="7"/>
    <x v="502"/>
    <x v="0"/>
    <x v="9"/>
    <x v="0"/>
    <n v="50940"/>
  </r>
  <r>
    <s v="CSKU11349_2ES"/>
    <x v="2"/>
    <x v="1"/>
    <x v="0"/>
    <x v="0"/>
    <x v="1"/>
    <x v="7"/>
    <x v="502"/>
    <x v="0"/>
    <x v="9"/>
    <x v="0"/>
    <n v="54470"/>
  </r>
  <r>
    <s v="CSKU11350_2ES"/>
    <x v="2"/>
    <x v="1"/>
    <x v="0"/>
    <x v="7"/>
    <x v="1"/>
    <x v="7"/>
    <x v="502"/>
    <x v="0"/>
    <x v="9"/>
    <x v="0"/>
    <n v="58020"/>
  </r>
  <r>
    <s v="CSKU11351_2ES"/>
    <x v="2"/>
    <x v="1"/>
    <x v="1"/>
    <x v="4"/>
    <x v="4"/>
    <x v="7"/>
    <x v="502"/>
    <x v="1"/>
    <x v="9"/>
    <x v="0"/>
    <n v="48120"/>
  </r>
  <r>
    <s v="CSKU11352_2ES"/>
    <x v="2"/>
    <x v="1"/>
    <x v="1"/>
    <x v="0"/>
    <x v="4"/>
    <x v="7"/>
    <x v="502"/>
    <x v="1"/>
    <x v="9"/>
    <x v="0"/>
    <n v="52080"/>
  </r>
  <r>
    <s v="CSKU11353_2ES"/>
    <x v="2"/>
    <x v="1"/>
    <x v="1"/>
    <x v="7"/>
    <x v="4"/>
    <x v="7"/>
    <x v="502"/>
    <x v="1"/>
    <x v="9"/>
    <x v="0"/>
    <n v="56060"/>
  </r>
  <r>
    <s v="CSKU11354_2ES"/>
    <x v="2"/>
    <x v="1"/>
    <x v="1"/>
    <x v="4"/>
    <x v="1"/>
    <x v="7"/>
    <x v="502"/>
    <x v="1"/>
    <x v="9"/>
    <x v="0"/>
    <n v="56360"/>
  </r>
  <r>
    <s v="CSKU11355_2ES"/>
    <x v="2"/>
    <x v="1"/>
    <x v="1"/>
    <x v="0"/>
    <x v="1"/>
    <x v="7"/>
    <x v="502"/>
    <x v="1"/>
    <x v="9"/>
    <x v="0"/>
    <n v="60320"/>
  </r>
  <r>
    <s v="CSKU11356_2ES"/>
    <x v="2"/>
    <x v="1"/>
    <x v="1"/>
    <x v="7"/>
    <x v="1"/>
    <x v="7"/>
    <x v="502"/>
    <x v="1"/>
    <x v="9"/>
    <x v="0"/>
    <n v="64300"/>
  </r>
  <r>
    <s v="CSKU11453_2ES"/>
    <x v="2"/>
    <x v="1"/>
    <x v="0"/>
    <x v="4"/>
    <x v="4"/>
    <x v="7"/>
    <x v="500"/>
    <x v="0"/>
    <x v="9"/>
    <x v="0"/>
    <n v="49010"/>
  </r>
  <r>
    <s v="CSKU11454_2ES"/>
    <x v="2"/>
    <x v="1"/>
    <x v="0"/>
    <x v="0"/>
    <x v="4"/>
    <x v="7"/>
    <x v="500"/>
    <x v="0"/>
    <x v="9"/>
    <x v="0"/>
    <n v="52540"/>
  </r>
  <r>
    <s v="CSKU11455_2ES"/>
    <x v="2"/>
    <x v="1"/>
    <x v="0"/>
    <x v="7"/>
    <x v="4"/>
    <x v="7"/>
    <x v="500"/>
    <x v="0"/>
    <x v="9"/>
    <x v="0"/>
    <n v="56110"/>
  </r>
  <r>
    <s v="CSKU11456_2ES"/>
    <x v="2"/>
    <x v="1"/>
    <x v="0"/>
    <x v="4"/>
    <x v="1"/>
    <x v="7"/>
    <x v="500"/>
    <x v="0"/>
    <x v="9"/>
    <x v="0"/>
    <n v="57740"/>
  </r>
  <r>
    <s v="CSKU11457_2ES"/>
    <x v="2"/>
    <x v="1"/>
    <x v="0"/>
    <x v="0"/>
    <x v="1"/>
    <x v="7"/>
    <x v="500"/>
    <x v="0"/>
    <x v="9"/>
    <x v="0"/>
    <n v="61270"/>
  </r>
  <r>
    <s v="CSKU11458_2ES"/>
    <x v="2"/>
    <x v="1"/>
    <x v="0"/>
    <x v="7"/>
    <x v="1"/>
    <x v="7"/>
    <x v="500"/>
    <x v="0"/>
    <x v="9"/>
    <x v="0"/>
    <n v="64820"/>
  </r>
  <r>
    <s v="CSKU10994_2ES"/>
    <x v="2"/>
    <x v="1"/>
    <x v="1"/>
    <x v="0"/>
    <x v="1"/>
    <x v="7"/>
    <x v="141"/>
    <x v="1"/>
    <x v="9"/>
    <x v="0"/>
    <n v="89950"/>
  </r>
  <r>
    <s v="CSKU10995_2ES"/>
    <x v="2"/>
    <x v="1"/>
    <x v="1"/>
    <x v="7"/>
    <x v="4"/>
    <x v="7"/>
    <x v="141"/>
    <x v="1"/>
    <x v="9"/>
    <x v="0"/>
    <n v="80660"/>
  </r>
  <r>
    <s v="CSKU10996_2ES"/>
    <x v="2"/>
    <x v="1"/>
    <x v="1"/>
    <x v="7"/>
    <x v="1"/>
    <x v="7"/>
    <x v="141"/>
    <x v="1"/>
    <x v="9"/>
    <x v="0"/>
    <n v="93930"/>
  </r>
  <r>
    <s v="CSKU11025_2ES"/>
    <x v="2"/>
    <x v="1"/>
    <x v="0"/>
    <x v="0"/>
    <x v="1"/>
    <x v="7"/>
    <x v="410"/>
    <x v="0"/>
    <x v="9"/>
    <x v="0"/>
    <n v="70150"/>
  </r>
  <r>
    <s v="CSKU11026_2ES"/>
    <x v="2"/>
    <x v="1"/>
    <x v="0"/>
    <x v="7"/>
    <x v="1"/>
    <x v="7"/>
    <x v="410"/>
    <x v="0"/>
    <x v="9"/>
    <x v="0"/>
    <n v="73700"/>
  </r>
  <r>
    <s v="CSKU11027_2ES"/>
    <x v="2"/>
    <x v="1"/>
    <x v="1"/>
    <x v="4"/>
    <x v="4"/>
    <x v="7"/>
    <x v="410"/>
    <x v="1"/>
    <x v="9"/>
    <x v="0"/>
    <n v="60610"/>
  </r>
  <r>
    <s v="CSKU11028_2ES"/>
    <x v="2"/>
    <x v="1"/>
    <x v="1"/>
    <x v="4"/>
    <x v="1"/>
    <x v="7"/>
    <x v="410"/>
    <x v="1"/>
    <x v="9"/>
    <x v="0"/>
    <n v="71080"/>
  </r>
  <r>
    <s v="CSKU11029_2ES"/>
    <x v="2"/>
    <x v="1"/>
    <x v="1"/>
    <x v="0"/>
    <x v="4"/>
    <x v="7"/>
    <x v="410"/>
    <x v="1"/>
    <x v="9"/>
    <x v="0"/>
    <n v="64570"/>
  </r>
  <r>
    <s v="CSKU11030_2ES"/>
    <x v="2"/>
    <x v="1"/>
    <x v="1"/>
    <x v="0"/>
    <x v="1"/>
    <x v="7"/>
    <x v="410"/>
    <x v="1"/>
    <x v="9"/>
    <x v="0"/>
    <n v="75040"/>
  </r>
  <r>
    <s v="CSKU11031_2ES"/>
    <x v="2"/>
    <x v="1"/>
    <x v="1"/>
    <x v="7"/>
    <x v="4"/>
    <x v="7"/>
    <x v="410"/>
    <x v="1"/>
    <x v="9"/>
    <x v="0"/>
    <n v="68550"/>
  </r>
  <r>
    <s v="CSKU11032_2ES"/>
    <x v="2"/>
    <x v="1"/>
    <x v="1"/>
    <x v="7"/>
    <x v="1"/>
    <x v="7"/>
    <x v="410"/>
    <x v="1"/>
    <x v="9"/>
    <x v="0"/>
    <n v="79020"/>
  </r>
  <r>
    <s v="CSKU11061_2ES"/>
    <x v="2"/>
    <x v="1"/>
    <x v="0"/>
    <x v="0"/>
    <x v="1"/>
    <x v="7"/>
    <x v="396"/>
    <x v="0"/>
    <x v="9"/>
    <x v="0"/>
    <n v="64660"/>
  </r>
  <r>
    <s v="CSKU11062_2ES"/>
    <x v="2"/>
    <x v="1"/>
    <x v="0"/>
    <x v="7"/>
    <x v="1"/>
    <x v="7"/>
    <x v="396"/>
    <x v="0"/>
    <x v="9"/>
    <x v="0"/>
    <n v="68210"/>
  </r>
  <r>
    <s v="CSKU11063_2ES"/>
    <x v="2"/>
    <x v="1"/>
    <x v="1"/>
    <x v="4"/>
    <x v="4"/>
    <x v="7"/>
    <x v="396"/>
    <x v="1"/>
    <x v="9"/>
    <x v="0"/>
    <n v="56310"/>
  </r>
  <r>
    <s v="CSKU11064_2ES"/>
    <x v="2"/>
    <x v="1"/>
    <x v="1"/>
    <x v="4"/>
    <x v="1"/>
    <x v="7"/>
    <x v="396"/>
    <x v="1"/>
    <x v="9"/>
    <x v="0"/>
    <n v="65590"/>
  </r>
  <r>
    <s v="CSKU11065_2ES"/>
    <x v="2"/>
    <x v="1"/>
    <x v="1"/>
    <x v="0"/>
    <x v="4"/>
    <x v="7"/>
    <x v="396"/>
    <x v="1"/>
    <x v="9"/>
    <x v="0"/>
    <n v="60270"/>
  </r>
  <r>
    <s v="CSKU11066_2ES"/>
    <x v="2"/>
    <x v="1"/>
    <x v="1"/>
    <x v="0"/>
    <x v="1"/>
    <x v="7"/>
    <x v="396"/>
    <x v="1"/>
    <x v="9"/>
    <x v="0"/>
    <n v="69550"/>
  </r>
  <r>
    <s v="CSKU11067_2ES"/>
    <x v="2"/>
    <x v="1"/>
    <x v="1"/>
    <x v="7"/>
    <x v="4"/>
    <x v="7"/>
    <x v="396"/>
    <x v="1"/>
    <x v="9"/>
    <x v="0"/>
    <n v="64250"/>
  </r>
  <r>
    <s v="CSKU11068_2ES"/>
    <x v="2"/>
    <x v="1"/>
    <x v="1"/>
    <x v="7"/>
    <x v="1"/>
    <x v="7"/>
    <x v="396"/>
    <x v="1"/>
    <x v="9"/>
    <x v="0"/>
    <n v="73530"/>
  </r>
  <r>
    <s v="CSKU11097_2ES"/>
    <x v="2"/>
    <x v="1"/>
    <x v="0"/>
    <x v="0"/>
    <x v="1"/>
    <x v="7"/>
    <x v="397"/>
    <x v="0"/>
    <x v="9"/>
    <x v="0"/>
    <n v="60390"/>
  </r>
  <r>
    <s v="CSKU11098_2ES"/>
    <x v="2"/>
    <x v="1"/>
    <x v="0"/>
    <x v="7"/>
    <x v="1"/>
    <x v="7"/>
    <x v="397"/>
    <x v="0"/>
    <x v="9"/>
    <x v="0"/>
    <n v="63940"/>
  </r>
  <r>
    <s v="CSKU11099_2ES"/>
    <x v="2"/>
    <x v="1"/>
    <x v="1"/>
    <x v="4"/>
    <x v="4"/>
    <x v="7"/>
    <x v="397"/>
    <x v="1"/>
    <x v="9"/>
    <x v="0"/>
    <n v="52800"/>
  </r>
  <r>
    <s v="CSKU11100_2ES"/>
    <x v="2"/>
    <x v="1"/>
    <x v="1"/>
    <x v="0"/>
    <x v="4"/>
    <x v="7"/>
    <x v="397"/>
    <x v="1"/>
    <x v="9"/>
    <x v="0"/>
    <n v="56760"/>
  </r>
  <r>
    <s v="CSKU11101_2ES"/>
    <x v="2"/>
    <x v="1"/>
    <x v="1"/>
    <x v="7"/>
    <x v="4"/>
    <x v="7"/>
    <x v="397"/>
    <x v="1"/>
    <x v="9"/>
    <x v="0"/>
    <n v="60740"/>
  </r>
  <r>
    <s v="CSKU11102_2ES"/>
    <x v="2"/>
    <x v="1"/>
    <x v="1"/>
    <x v="4"/>
    <x v="1"/>
    <x v="7"/>
    <x v="397"/>
    <x v="1"/>
    <x v="9"/>
    <x v="0"/>
    <n v="61640"/>
  </r>
  <r>
    <s v="CSKU11103_2ES"/>
    <x v="2"/>
    <x v="1"/>
    <x v="1"/>
    <x v="0"/>
    <x v="1"/>
    <x v="7"/>
    <x v="397"/>
    <x v="1"/>
    <x v="9"/>
    <x v="0"/>
    <n v="65600"/>
  </r>
  <r>
    <s v="CSKU11104_2ES"/>
    <x v="2"/>
    <x v="1"/>
    <x v="1"/>
    <x v="7"/>
    <x v="1"/>
    <x v="7"/>
    <x v="397"/>
    <x v="1"/>
    <x v="9"/>
    <x v="0"/>
    <n v="69580"/>
  </r>
  <r>
    <s v="CSKU11238_2ES"/>
    <x v="2"/>
    <x v="1"/>
    <x v="0"/>
    <x v="0"/>
    <x v="4"/>
    <x v="7"/>
    <x v="501"/>
    <x v="0"/>
    <x v="9"/>
    <x v="0"/>
    <n v="56220"/>
  </r>
  <r>
    <s v="CSKU11201_2ES"/>
    <x v="2"/>
    <x v="1"/>
    <x v="0"/>
    <x v="4"/>
    <x v="4"/>
    <x v="7"/>
    <x v="503"/>
    <x v="0"/>
    <x v="9"/>
    <x v="0"/>
    <n v="56990"/>
  </r>
  <r>
    <s v="CSKU11166_2ES"/>
    <x v="2"/>
    <x v="1"/>
    <x v="0"/>
    <x v="0"/>
    <x v="4"/>
    <x v="7"/>
    <x v="142"/>
    <x v="0"/>
    <x v="9"/>
    <x v="0"/>
    <n v="60520"/>
  </r>
  <r>
    <s v="CSKU11167_2ES"/>
    <x v="2"/>
    <x v="1"/>
    <x v="0"/>
    <x v="7"/>
    <x v="4"/>
    <x v="7"/>
    <x v="142"/>
    <x v="0"/>
    <x v="9"/>
    <x v="0"/>
    <n v="64090"/>
  </r>
  <r>
    <s v="CSKU11168_2ES"/>
    <x v="2"/>
    <x v="1"/>
    <x v="0"/>
    <x v="4"/>
    <x v="1"/>
    <x v="7"/>
    <x v="142"/>
    <x v="0"/>
    <x v="9"/>
    <x v="0"/>
    <n v="66620"/>
  </r>
  <r>
    <s v="CSKU11169_2ES"/>
    <x v="2"/>
    <x v="1"/>
    <x v="0"/>
    <x v="0"/>
    <x v="1"/>
    <x v="7"/>
    <x v="142"/>
    <x v="0"/>
    <x v="9"/>
    <x v="0"/>
    <n v="70150"/>
  </r>
  <r>
    <s v="CSKU11170_2ES"/>
    <x v="2"/>
    <x v="1"/>
    <x v="0"/>
    <x v="7"/>
    <x v="1"/>
    <x v="7"/>
    <x v="142"/>
    <x v="0"/>
    <x v="9"/>
    <x v="0"/>
    <n v="73700"/>
  </r>
  <r>
    <s v="CSKU11171_2ES"/>
    <x v="2"/>
    <x v="1"/>
    <x v="1"/>
    <x v="4"/>
    <x v="4"/>
    <x v="7"/>
    <x v="142"/>
    <x v="1"/>
    <x v="9"/>
    <x v="0"/>
    <n v="60610"/>
  </r>
  <r>
    <s v="CSKU11202_2ES"/>
    <x v="2"/>
    <x v="1"/>
    <x v="0"/>
    <x v="0"/>
    <x v="4"/>
    <x v="7"/>
    <x v="503"/>
    <x v="0"/>
    <x v="9"/>
    <x v="0"/>
    <n v="60520"/>
  </r>
  <r>
    <s v="CSKU11203_2ES"/>
    <x v="2"/>
    <x v="1"/>
    <x v="0"/>
    <x v="7"/>
    <x v="4"/>
    <x v="7"/>
    <x v="503"/>
    <x v="0"/>
    <x v="9"/>
    <x v="0"/>
    <n v="64090"/>
  </r>
  <r>
    <s v="CSKU11204_2ES"/>
    <x v="2"/>
    <x v="1"/>
    <x v="0"/>
    <x v="4"/>
    <x v="1"/>
    <x v="7"/>
    <x v="503"/>
    <x v="0"/>
    <x v="9"/>
    <x v="0"/>
    <n v="66620"/>
  </r>
  <r>
    <s v="CSKU11205_2ES"/>
    <x v="2"/>
    <x v="1"/>
    <x v="0"/>
    <x v="0"/>
    <x v="1"/>
    <x v="7"/>
    <x v="503"/>
    <x v="0"/>
    <x v="9"/>
    <x v="0"/>
    <n v="70150"/>
  </r>
  <r>
    <s v="CSKU11206_2ES"/>
    <x v="2"/>
    <x v="1"/>
    <x v="0"/>
    <x v="7"/>
    <x v="1"/>
    <x v="7"/>
    <x v="503"/>
    <x v="0"/>
    <x v="9"/>
    <x v="0"/>
    <n v="73700"/>
  </r>
  <r>
    <s v="CSKU11207_2ES"/>
    <x v="2"/>
    <x v="1"/>
    <x v="1"/>
    <x v="4"/>
    <x v="4"/>
    <x v="7"/>
    <x v="503"/>
    <x v="1"/>
    <x v="9"/>
    <x v="0"/>
    <n v="60610"/>
  </r>
  <r>
    <s v="CSKU11208_2ES"/>
    <x v="2"/>
    <x v="1"/>
    <x v="1"/>
    <x v="4"/>
    <x v="1"/>
    <x v="7"/>
    <x v="503"/>
    <x v="1"/>
    <x v="9"/>
    <x v="0"/>
    <n v="71080"/>
  </r>
  <r>
    <s v="CSKU11209_2ES"/>
    <x v="2"/>
    <x v="1"/>
    <x v="1"/>
    <x v="0"/>
    <x v="4"/>
    <x v="7"/>
    <x v="503"/>
    <x v="1"/>
    <x v="9"/>
    <x v="0"/>
    <n v="64570"/>
  </r>
  <r>
    <s v="CSKU11210_2ES"/>
    <x v="2"/>
    <x v="1"/>
    <x v="1"/>
    <x v="0"/>
    <x v="1"/>
    <x v="7"/>
    <x v="503"/>
    <x v="1"/>
    <x v="9"/>
    <x v="0"/>
    <n v="75040"/>
  </r>
  <r>
    <s v="CSKU11211_2ES"/>
    <x v="2"/>
    <x v="1"/>
    <x v="1"/>
    <x v="7"/>
    <x v="4"/>
    <x v="7"/>
    <x v="503"/>
    <x v="1"/>
    <x v="9"/>
    <x v="0"/>
    <n v="68550"/>
  </r>
  <r>
    <s v="CSKU11239_2ES"/>
    <x v="2"/>
    <x v="1"/>
    <x v="0"/>
    <x v="7"/>
    <x v="4"/>
    <x v="7"/>
    <x v="501"/>
    <x v="0"/>
    <x v="9"/>
    <x v="0"/>
    <n v="59790"/>
  </r>
  <r>
    <s v="CSKU11240_2ES"/>
    <x v="2"/>
    <x v="1"/>
    <x v="0"/>
    <x v="4"/>
    <x v="1"/>
    <x v="7"/>
    <x v="501"/>
    <x v="0"/>
    <x v="9"/>
    <x v="0"/>
    <n v="61130"/>
  </r>
  <r>
    <s v="CSKU11241_2ES"/>
    <x v="2"/>
    <x v="1"/>
    <x v="0"/>
    <x v="0"/>
    <x v="1"/>
    <x v="7"/>
    <x v="501"/>
    <x v="0"/>
    <x v="9"/>
    <x v="0"/>
    <n v="64660"/>
  </r>
  <r>
    <s v="CSKU11242_2ES"/>
    <x v="2"/>
    <x v="1"/>
    <x v="0"/>
    <x v="7"/>
    <x v="1"/>
    <x v="7"/>
    <x v="501"/>
    <x v="0"/>
    <x v="9"/>
    <x v="0"/>
    <n v="68210"/>
  </r>
  <r>
    <s v="CSKU11243_2ES"/>
    <x v="2"/>
    <x v="1"/>
    <x v="1"/>
    <x v="4"/>
    <x v="4"/>
    <x v="7"/>
    <x v="501"/>
    <x v="1"/>
    <x v="9"/>
    <x v="0"/>
    <n v="56310"/>
  </r>
  <r>
    <s v="CSKU11244_2ES"/>
    <x v="2"/>
    <x v="1"/>
    <x v="1"/>
    <x v="4"/>
    <x v="1"/>
    <x v="7"/>
    <x v="501"/>
    <x v="1"/>
    <x v="9"/>
    <x v="0"/>
    <n v="65590"/>
  </r>
  <r>
    <s v="CSKU11245_2ES"/>
    <x v="2"/>
    <x v="1"/>
    <x v="1"/>
    <x v="0"/>
    <x v="4"/>
    <x v="7"/>
    <x v="501"/>
    <x v="1"/>
    <x v="9"/>
    <x v="0"/>
    <n v="60270"/>
  </r>
  <r>
    <s v="CSKU11246_2ES"/>
    <x v="2"/>
    <x v="1"/>
    <x v="1"/>
    <x v="0"/>
    <x v="1"/>
    <x v="7"/>
    <x v="501"/>
    <x v="1"/>
    <x v="9"/>
    <x v="0"/>
    <n v="69550"/>
  </r>
  <r>
    <s v="CSKU11247_2ES"/>
    <x v="2"/>
    <x v="1"/>
    <x v="1"/>
    <x v="7"/>
    <x v="4"/>
    <x v="7"/>
    <x v="501"/>
    <x v="1"/>
    <x v="9"/>
    <x v="0"/>
    <n v="64250"/>
  </r>
  <r>
    <s v="CSKU11212_2ES"/>
    <x v="2"/>
    <x v="1"/>
    <x v="1"/>
    <x v="7"/>
    <x v="1"/>
    <x v="7"/>
    <x v="503"/>
    <x v="1"/>
    <x v="9"/>
    <x v="0"/>
    <n v="79020"/>
  </r>
  <r>
    <s v="CSKU11248_2ES"/>
    <x v="2"/>
    <x v="1"/>
    <x v="1"/>
    <x v="7"/>
    <x v="1"/>
    <x v="7"/>
    <x v="501"/>
    <x v="1"/>
    <x v="9"/>
    <x v="0"/>
    <n v="73530"/>
  </r>
  <r>
    <s v="CSKU11309_2ES"/>
    <x v="2"/>
    <x v="1"/>
    <x v="0"/>
    <x v="4"/>
    <x v="4"/>
    <x v="7"/>
    <x v="143"/>
    <x v="0"/>
    <x v="9"/>
    <x v="0"/>
    <n v="44710"/>
  </r>
  <r>
    <s v="CSKU11310_2ES"/>
    <x v="2"/>
    <x v="1"/>
    <x v="0"/>
    <x v="0"/>
    <x v="4"/>
    <x v="7"/>
    <x v="143"/>
    <x v="0"/>
    <x v="9"/>
    <x v="0"/>
    <n v="48240"/>
  </r>
  <r>
    <s v="CSKU11311_2ES"/>
    <x v="2"/>
    <x v="1"/>
    <x v="0"/>
    <x v="7"/>
    <x v="4"/>
    <x v="7"/>
    <x v="143"/>
    <x v="0"/>
    <x v="9"/>
    <x v="0"/>
    <n v="51810"/>
  </r>
  <r>
    <s v="CSKU10851_2ES"/>
    <x v="2"/>
    <x v="1"/>
    <x v="1"/>
    <x v="0"/>
    <x v="1"/>
    <x v="7"/>
    <x v="504"/>
    <x v="1"/>
    <x v="9"/>
    <x v="0"/>
    <n v="86000"/>
  </r>
  <r>
    <s v="CSKU10852_2ES"/>
    <x v="2"/>
    <x v="1"/>
    <x v="1"/>
    <x v="7"/>
    <x v="1"/>
    <x v="7"/>
    <x v="504"/>
    <x v="1"/>
    <x v="9"/>
    <x v="0"/>
    <n v="89980"/>
  </r>
  <r>
    <s v="CSKU10877_2ES"/>
    <x v="2"/>
    <x v="1"/>
    <x v="0"/>
    <x v="4"/>
    <x v="4"/>
    <x v="7"/>
    <x v="139"/>
    <x v="0"/>
    <x v="9"/>
    <x v="0"/>
    <n v="73400"/>
  </r>
  <r>
    <s v="CSKU10878_2ES"/>
    <x v="2"/>
    <x v="1"/>
    <x v="0"/>
    <x v="0"/>
    <x v="4"/>
    <x v="7"/>
    <x v="139"/>
    <x v="0"/>
    <x v="9"/>
    <x v="0"/>
    <n v="76930"/>
  </r>
  <r>
    <s v="CSKU10879_2ES"/>
    <x v="2"/>
    <x v="1"/>
    <x v="0"/>
    <x v="7"/>
    <x v="4"/>
    <x v="7"/>
    <x v="139"/>
    <x v="0"/>
    <x v="9"/>
    <x v="0"/>
    <n v="80500"/>
  </r>
  <r>
    <s v="CSKU10880_2ES"/>
    <x v="2"/>
    <x v="1"/>
    <x v="0"/>
    <x v="4"/>
    <x v="1"/>
    <x v="7"/>
    <x v="139"/>
    <x v="0"/>
    <x v="9"/>
    <x v="0"/>
    <n v="87020"/>
  </r>
  <r>
    <s v="CSKU10881_2ES"/>
    <x v="2"/>
    <x v="1"/>
    <x v="0"/>
    <x v="0"/>
    <x v="1"/>
    <x v="7"/>
    <x v="139"/>
    <x v="0"/>
    <x v="9"/>
    <x v="0"/>
    <n v="90550"/>
  </r>
  <r>
    <s v="CSKU10882_2ES"/>
    <x v="2"/>
    <x v="1"/>
    <x v="0"/>
    <x v="7"/>
    <x v="1"/>
    <x v="7"/>
    <x v="139"/>
    <x v="0"/>
    <x v="9"/>
    <x v="0"/>
    <n v="94100"/>
  </r>
  <r>
    <s v="CSKU10883_2ES"/>
    <x v="2"/>
    <x v="1"/>
    <x v="1"/>
    <x v="4"/>
    <x v="4"/>
    <x v="7"/>
    <x v="139"/>
    <x v="1"/>
    <x v="9"/>
    <x v="0"/>
    <n v="77020"/>
  </r>
  <r>
    <s v="CSKU10884_2ES"/>
    <x v="2"/>
    <x v="1"/>
    <x v="1"/>
    <x v="4"/>
    <x v="1"/>
    <x v="7"/>
    <x v="139"/>
    <x v="1"/>
    <x v="9"/>
    <x v="0"/>
    <n v="91480"/>
  </r>
  <r>
    <s v="CSKU10885_2ES"/>
    <x v="2"/>
    <x v="1"/>
    <x v="1"/>
    <x v="0"/>
    <x v="4"/>
    <x v="7"/>
    <x v="139"/>
    <x v="1"/>
    <x v="9"/>
    <x v="0"/>
    <n v="80980"/>
  </r>
  <r>
    <s v="CSKU10886_2ES"/>
    <x v="2"/>
    <x v="1"/>
    <x v="1"/>
    <x v="0"/>
    <x v="1"/>
    <x v="7"/>
    <x v="139"/>
    <x v="1"/>
    <x v="9"/>
    <x v="0"/>
    <n v="95440"/>
  </r>
  <r>
    <s v="CSKU10913_2ES"/>
    <x v="2"/>
    <x v="1"/>
    <x v="0"/>
    <x v="4"/>
    <x v="4"/>
    <x v="7"/>
    <x v="505"/>
    <x v="0"/>
    <x v="9"/>
    <x v="0"/>
    <n v="73400"/>
  </r>
  <r>
    <s v="CSKU10914_2ES"/>
    <x v="2"/>
    <x v="1"/>
    <x v="0"/>
    <x v="0"/>
    <x v="4"/>
    <x v="7"/>
    <x v="505"/>
    <x v="0"/>
    <x v="9"/>
    <x v="0"/>
    <n v="76930"/>
  </r>
  <r>
    <s v="CSKU10915_2ES"/>
    <x v="2"/>
    <x v="1"/>
    <x v="0"/>
    <x v="7"/>
    <x v="4"/>
    <x v="7"/>
    <x v="505"/>
    <x v="0"/>
    <x v="9"/>
    <x v="0"/>
    <n v="80500"/>
  </r>
  <r>
    <s v="CSKU10916_2ES"/>
    <x v="2"/>
    <x v="1"/>
    <x v="0"/>
    <x v="4"/>
    <x v="1"/>
    <x v="7"/>
    <x v="505"/>
    <x v="0"/>
    <x v="9"/>
    <x v="0"/>
    <n v="87020"/>
  </r>
  <r>
    <s v="CSKU10917_2ES"/>
    <x v="2"/>
    <x v="1"/>
    <x v="0"/>
    <x v="0"/>
    <x v="1"/>
    <x v="7"/>
    <x v="505"/>
    <x v="0"/>
    <x v="9"/>
    <x v="0"/>
    <n v="90550"/>
  </r>
  <r>
    <s v="CSKU10918_2ES"/>
    <x v="2"/>
    <x v="1"/>
    <x v="0"/>
    <x v="7"/>
    <x v="1"/>
    <x v="7"/>
    <x v="505"/>
    <x v="0"/>
    <x v="9"/>
    <x v="0"/>
    <n v="94100"/>
  </r>
  <r>
    <s v="CSKU10625_2ES"/>
    <x v="2"/>
    <x v="1"/>
    <x v="0"/>
    <x v="4"/>
    <x v="4"/>
    <x v="7"/>
    <x v="506"/>
    <x v="0"/>
    <x v="9"/>
    <x v="0"/>
    <n v="60500"/>
  </r>
  <r>
    <s v="CSKU10626_2ES"/>
    <x v="2"/>
    <x v="1"/>
    <x v="0"/>
    <x v="0"/>
    <x v="4"/>
    <x v="7"/>
    <x v="506"/>
    <x v="0"/>
    <x v="9"/>
    <x v="0"/>
    <n v="64030"/>
  </r>
  <r>
    <s v="CSKU10627_2ES"/>
    <x v="2"/>
    <x v="1"/>
    <x v="0"/>
    <x v="7"/>
    <x v="4"/>
    <x v="7"/>
    <x v="506"/>
    <x v="0"/>
    <x v="9"/>
    <x v="0"/>
    <n v="67600"/>
  </r>
  <r>
    <s v="CSKU10662_2ES"/>
    <x v="2"/>
    <x v="1"/>
    <x v="0"/>
    <x v="0"/>
    <x v="4"/>
    <x v="7"/>
    <x v="444"/>
    <x v="0"/>
    <x v="9"/>
    <x v="0"/>
    <n v="64030"/>
  </r>
  <r>
    <s v="CSKU10663_2ES"/>
    <x v="2"/>
    <x v="1"/>
    <x v="0"/>
    <x v="7"/>
    <x v="4"/>
    <x v="7"/>
    <x v="444"/>
    <x v="0"/>
    <x v="9"/>
    <x v="0"/>
    <n v="67600"/>
  </r>
  <r>
    <s v="CSKU10664_2ES"/>
    <x v="2"/>
    <x v="1"/>
    <x v="0"/>
    <x v="4"/>
    <x v="1"/>
    <x v="7"/>
    <x v="444"/>
    <x v="0"/>
    <x v="9"/>
    <x v="0"/>
    <n v="70550"/>
  </r>
  <r>
    <s v="CSKU10665_2ES"/>
    <x v="2"/>
    <x v="1"/>
    <x v="0"/>
    <x v="0"/>
    <x v="1"/>
    <x v="7"/>
    <x v="444"/>
    <x v="0"/>
    <x v="9"/>
    <x v="0"/>
    <n v="74080"/>
  </r>
  <r>
    <s v="CSKU10666_2ES"/>
    <x v="2"/>
    <x v="1"/>
    <x v="0"/>
    <x v="7"/>
    <x v="1"/>
    <x v="7"/>
    <x v="444"/>
    <x v="0"/>
    <x v="9"/>
    <x v="0"/>
    <n v="77630"/>
  </r>
  <r>
    <s v="CSKU10667_2ES"/>
    <x v="2"/>
    <x v="1"/>
    <x v="1"/>
    <x v="4"/>
    <x v="4"/>
    <x v="7"/>
    <x v="444"/>
    <x v="1"/>
    <x v="9"/>
    <x v="0"/>
    <n v="64120"/>
  </r>
  <r>
    <s v="CSKU10668_2ES"/>
    <x v="2"/>
    <x v="1"/>
    <x v="1"/>
    <x v="4"/>
    <x v="1"/>
    <x v="7"/>
    <x v="444"/>
    <x v="1"/>
    <x v="9"/>
    <x v="0"/>
    <n v="75010"/>
  </r>
  <r>
    <s v="CSKU10669_2ES"/>
    <x v="2"/>
    <x v="1"/>
    <x v="1"/>
    <x v="0"/>
    <x v="4"/>
    <x v="7"/>
    <x v="444"/>
    <x v="1"/>
    <x v="9"/>
    <x v="0"/>
    <n v="68080"/>
  </r>
  <r>
    <s v="CSKU10739_2ES"/>
    <x v="2"/>
    <x v="1"/>
    <x v="1"/>
    <x v="4"/>
    <x v="4"/>
    <x v="7"/>
    <x v="507"/>
    <x v="1"/>
    <x v="9"/>
    <x v="0"/>
    <n v="59820"/>
  </r>
  <r>
    <s v="CSKU10740_2ES"/>
    <x v="2"/>
    <x v="1"/>
    <x v="1"/>
    <x v="4"/>
    <x v="1"/>
    <x v="7"/>
    <x v="507"/>
    <x v="1"/>
    <x v="9"/>
    <x v="0"/>
    <n v="69520"/>
  </r>
  <r>
    <s v="CSKU10741_2ES"/>
    <x v="2"/>
    <x v="1"/>
    <x v="1"/>
    <x v="0"/>
    <x v="4"/>
    <x v="7"/>
    <x v="507"/>
    <x v="1"/>
    <x v="9"/>
    <x v="0"/>
    <n v="63780"/>
  </r>
  <r>
    <s v="CSKU10742_2ES"/>
    <x v="2"/>
    <x v="1"/>
    <x v="1"/>
    <x v="0"/>
    <x v="1"/>
    <x v="7"/>
    <x v="507"/>
    <x v="1"/>
    <x v="9"/>
    <x v="0"/>
    <n v="73480"/>
  </r>
  <r>
    <s v="CSKU10743_2ES"/>
    <x v="2"/>
    <x v="1"/>
    <x v="1"/>
    <x v="7"/>
    <x v="4"/>
    <x v="7"/>
    <x v="507"/>
    <x v="1"/>
    <x v="9"/>
    <x v="0"/>
    <n v="67760"/>
  </r>
  <r>
    <s v="CSKU10744_2ES"/>
    <x v="2"/>
    <x v="1"/>
    <x v="1"/>
    <x v="7"/>
    <x v="1"/>
    <x v="7"/>
    <x v="507"/>
    <x v="1"/>
    <x v="9"/>
    <x v="0"/>
    <n v="77460"/>
  </r>
  <r>
    <s v="CSKU10769_2ES"/>
    <x v="2"/>
    <x v="1"/>
    <x v="0"/>
    <x v="4"/>
    <x v="4"/>
    <x v="7"/>
    <x v="508"/>
    <x v="0"/>
    <x v="9"/>
    <x v="0"/>
    <n v="69100"/>
  </r>
  <r>
    <s v="CSKU10770_2ES"/>
    <x v="2"/>
    <x v="1"/>
    <x v="0"/>
    <x v="0"/>
    <x v="4"/>
    <x v="7"/>
    <x v="508"/>
    <x v="0"/>
    <x v="9"/>
    <x v="0"/>
    <n v="72630"/>
  </r>
  <r>
    <s v="CSKU10771_2ES"/>
    <x v="2"/>
    <x v="1"/>
    <x v="0"/>
    <x v="7"/>
    <x v="4"/>
    <x v="7"/>
    <x v="508"/>
    <x v="0"/>
    <x v="9"/>
    <x v="0"/>
    <n v="76200"/>
  </r>
  <r>
    <s v="CSKU10805_2ES"/>
    <x v="2"/>
    <x v="1"/>
    <x v="0"/>
    <x v="4"/>
    <x v="4"/>
    <x v="7"/>
    <x v="509"/>
    <x v="0"/>
    <x v="9"/>
    <x v="0"/>
    <n v="67930"/>
  </r>
  <r>
    <s v="CSKU10806_2ES"/>
    <x v="2"/>
    <x v="1"/>
    <x v="0"/>
    <x v="0"/>
    <x v="4"/>
    <x v="7"/>
    <x v="509"/>
    <x v="0"/>
    <x v="9"/>
    <x v="0"/>
    <n v="71460"/>
  </r>
  <r>
    <s v="CSKU10807_2ES"/>
    <x v="2"/>
    <x v="1"/>
    <x v="0"/>
    <x v="7"/>
    <x v="4"/>
    <x v="7"/>
    <x v="509"/>
    <x v="0"/>
    <x v="9"/>
    <x v="0"/>
    <n v="75030"/>
  </r>
  <r>
    <s v="CSKU10808_2ES"/>
    <x v="2"/>
    <x v="1"/>
    <x v="0"/>
    <x v="4"/>
    <x v="1"/>
    <x v="7"/>
    <x v="509"/>
    <x v="0"/>
    <x v="9"/>
    <x v="0"/>
    <n v="80220"/>
  </r>
  <r>
    <s v="CSKU10809_2ES"/>
    <x v="2"/>
    <x v="1"/>
    <x v="0"/>
    <x v="0"/>
    <x v="1"/>
    <x v="7"/>
    <x v="509"/>
    <x v="0"/>
    <x v="9"/>
    <x v="0"/>
    <n v="83750"/>
  </r>
  <r>
    <s v="CSKU10841_2ES"/>
    <x v="2"/>
    <x v="1"/>
    <x v="0"/>
    <x v="4"/>
    <x v="4"/>
    <x v="7"/>
    <x v="504"/>
    <x v="0"/>
    <x v="9"/>
    <x v="0"/>
    <n v="65270"/>
  </r>
  <r>
    <s v="CSKU10780_2ES"/>
    <x v="2"/>
    <x v="1"/>
    <x v="1"/>
    <x v="7"/>
    <x v="1"/>
    <x v="7"/>
    <x v="508"/>
    <x v="1"/>
    <x v="9"/>
    <x v="0"/>
    <n v="93930"/>
  </r>
  <r>
    <s v="CSKU10810_2ES"/>
    <x v="2"/>
    <x v="1"/>
    <x v="0"/>
    <x v="7"/>
    <x v="1"/>
    <x v="7"/>
    <x v="509"/>
    <x v="0"/>
    <x v="9"/>
    <x v="0"/>
    <n v="87300"/>
  </r>
  <r>
    <s v="CSKU10811_2ES"/>
    <x v="2"/>
    <x v="1"/>
    <x v="1"/>
    <x v="4"/>
    <x v="4"/>
    <x v="7"/>
    <x v="509"/>
    <x v="1"/>
    <x v="9"/>
    <x v="0"/>
    <n v="71550"/>
  </r>
  <r>
    <s v="CSKU10812_2ES"/>
    <x v="2"/>
    <x v="1"/>
    <x v="1"/>
    <x v="4"/>
    <x v="1"/>
    <x v="7"/>
    <x v="509"/>
    <x v="1"/>
    <x v="9"/>
    <x v="0"/>
    <n v="84680"/>
  </r>
  <r>
    <s v="CSKU10813_2ES"/>
    <x v="2"/>
    <x v="1"/>
    <x v="1"/>
    <x v="0"/>
    <x v="4"/>
    <x v="7"/>
    <x v="509"/>
    <x v="1"/>
    <x v="9"/>
    <x v="0"/>
    <n v="75510"/>
  </r>
  <r>
    <s v="CSKU10814_2ES"/>
    <x v="2"/>
    <x v="1"/>
    <x v="1"/>
    <x v="0"/>
    <x v="1"/>
    <x v="7"/>
    <x v="509"/>
    <x v="1"/>
    <x v="9"/>
    <x v="0"/>
    <n v="88640"/>
  </r>
  <r>
    <s v="CSKU10815_2ES"/>
    <x v="2"/>
    <x v="1"/>
    <x v="1"/>
    <x v="7"/>
    <x v="4"/>
    <x v="7"/>
    <x v="509"/>
    <x v="1"/>
    <x v="9"/>
    <x v="0"/>
    <n v="79490"/>
  </r>
  <r>
    <s v="CSKU10816_2ES"/>
    <x v="2"/>
    <x v="1"/>
    <x v="1"/>
    <x v="7"/>
    <x v="1"/>
    <x v="7"/>
    <x v="509"/>
    <x v="1"/>
    <x v="9"/>
    <x v="0"/>
    <n v="92620"/>
  </r>
  <r>
    <s v="CSKU10919_2ES"/>
    <x v="2"/>
    <x v="1"/>
    <x v="1"/>
    <x v="4"/>
    <x v="4"/>
    <x v="7"/>
    <x v="505"/>
    <x v="1"/>
    <x v="9"/>
    <x v="0"/>
    <n v="77020"/>
  </r>
  <r>
    <s v="CSKU10920_2ES"/>
    <x v="2"/>
    <x v="1"/>
    <x v="1"/>
    <x v="4"/>
    <x v="1"/>
    <x v="7"/>
    <x v="505"/>
    <x v="1"/>
    <x v="9"/>
    <x v="0"/>
    <n v="91480"/>
  </r>
  <r>
    <s v="CSKU10921_2ES"/>
    <x v="2"/>
    <x v="1"/>
    <x v="1"/>
    <x v="0"/>
    <x v="4"/>
    <x v="7"/>
    <x v="505"/>
    <x v="1"/>
    <x v="9"/>
    <x v="0"/>
    <n v="80980"/>
  </r>
  <r>
    <s v="CSKU10922_2ES"/>
    <x v="2"/>
    <x v="1"/>
    <x v="1"/>
    <x v="0"/>
    <x v="1"/>
    <x v="7"/>
    <x v="505"/>
    <x v="1"/>
    <x v="9"/>
    <x v="0"/>
    <n v="95440"/>
  </r>
  <r>
    <s v="CSKU10923_2ES"/>
    <x v="2"/>
    <x v="1"/>
    <x v="1"/>
    <x v="7"/>
    <x v="4"/>
    <x v="7"/>
    <x v="505"/>
    <x v="1"/>
    <x v="9"/>
    <x v="0"/>
    <n v="84960"/>
  </r>
  <r>
    <s v="CSKU10924_2ES"/>
    <x v="2"/>
    <x v="1"/>
    <x v="1"/>
    <x v="7"/>
    <x v="1"/>
    <x v="7"/>
    <x v="505"/>
    <x v="1"/>
    <x v="9"/>
    <x v="0"/>
    <n v="99420"/>
  </r>
  <r>
    <s v="CSKU11165_2ES"/>
    <x v="2"/>
    <x v="1"/>
    <x v="0"/>
    <x v="4"/>
    <x v="4"/>
    <x v="7"/>
    <x v="142"/>
    <x v="0"/>
    <x v="9"/>
    <x v="0"/>
    <n v="56990"/>
  </r>
  <r>
    <s v="CSKU10628_2ES"/>
    <x v="2"/>
    <x v="1"/>
    <x v="0"/>
    <x v="4"/>
    <x v="1"/>
    <x v="7"/>
    <x v="506"/>
    <x v="0"/>
    <x v="9"/>
    <x v="0"/>
    <n v="70550"/>
  </r>
  <r>
    <s v="CSKU10670_2ES"/>
    <x v="2"/>
    <x v="1"/>
    <x v="1"/>
    <x v="0"/>
    <x v="1"/>
    <x v="7"/>
    <x v="444"/>
    <x v="1"/>
    <x v="9"/>
    <x v="0"/>
    <n v="78970"/>
  </r>
  <r>
    <s v="CSKU10629_2ES"/>
    <x v="2"/>
    <x v="1"/>
    <x v="0"/>
    <x v="0"/>
    <x v="1"/>
    <x v="7"/>
    <x v="506"/>
    <x v="0"/>
    <x v="9"/>
    <x v="0"/>
    <n v="74080"/>
  </r>
  <r>
    <s v="CSKU10630_2ES"/>
    <x v="2"/>
    <x v="1"/>
    <x v="0"/>
    <x v="7"/>
    <x v="1"/>
    <x v="7"/>
    <x v="506"/>
    <x v="0"/>
    <x v="9"/>
    <x v="0"/>
    <n v="77630"/>
  </r>
  <r>
    <s v="CSKU10631_2ES"/>
    <x v="2"/>
    <x v="1"/>
    <x v="1"/>
    <x v="4"/>
    <x v="4"/>
    <x v="7"/>
    <x v="506"/>
    <x v="1"/>
    <x v="9"/>
    <x v="0"/>
    <n v="64120"/>
  </r>
  <r>
    <s v="CSKU10632_2ES"/>
    <x v="2"/>
    <x v="1"/>
    <x v="1"/>
    <x v="4"/>
    <x v="1"/>
    <x v="7"/>
    <x v="506"/>
    <x v="1"/>
    <x v="9"/>
    <x v="0"/>
    <n v="75010"/>
  </r>
  <r>
    <s v="CSKU10633_2ES"/>
    <x v="2"/>
    <x v="1"/>
    <x v="1"/>
    <x v="0"/>
    <x v="4"/>
    <x v="7"/>
    <x v="506"/>
    <x v="1"/>
    <x v="9"/>
    <x v="0"/>
    <n v="68080"/>
  </r>
  <r>
    <s v="CSKU10634_2ES"/>
    <x v="2"/>
    <x v="1"/>
    <x v="1"/>
    <x v="0"/>
    <x v="1"/>
    <x v="7"/>
    <x v="506"/>
    <x v="1"/>
    <x v="9"/>
    <x v="0"/>
    <n v="78970"/>
  </r>
  <r>
    <s v="CSKU10635_2ES"/>
    <x v="2"/>
    <x v="1"/>
    <x v="1"/>
    <x v="7"/>
    <x v="4"/>
    <x v="7"/>
    <x v="506"/>
    <x v="1"/>
    <x v="9"/>
    <x v="0"/>
    <n v="72060"/>
  </r>
  <r>
    <s v="CSKU10636_2ES"/>
    <x v="2"/>
    <x v="1"/>
    <x v="1"/>
    <x v="7"/>
    <x v="1"/>
    <x v="7"/>
    <x v="506"/>
    <x v="1"/>
    <x v="9"/>
    <x v="0"/>
    <n v="82950"/>
  </r>
  <r>
    <s v="CSKU10671_2ES"/>
    <x v="2"/>
    <x v="1"/>
    <x v="1"/>
    <x v="7"/>
    <x v="4"/>
    <x v="7"/>
    <x v="444"/>
    <x v="1"/>
    <x v="9"/>
    <x v="0"/>
    <n v="72060"/>
  </r>
  <r>
    <s v="CSKU10672_2ES"/>
    <x v="2"/>
    <x v="1"/>
    <x v="1"/>
    <x v="7"/>
    <x v="1"/>
    <x v="7"/>
    <x v="444"/>
    <x v="1"/>
    <x v="9"/>
    <x v="0"/>
    <n v="82950"/>
  </r>
  <r>
    <s v="CSKU10842_2ES"/>
    <x v="2"/>
    <x v="1"/>
    <x v="0"/>
    <x v="0"/>
    <x v="4"/>
    <x v="7"/>
    <x v="504"/>
    <x v="0"/>
    <x v="9"/>
    <x v="0"/>
    <n v="68800"/>
  </r>
  <r>
    <s v="CSKU10843_2ES"/>
    <x v="2"/>
    <x v="1"/>
    <x v="0"/>
    <x v="7"/>
    <x v="4"/>
    <x v="7"/>
    <x v="504"/>
    <x v="0"/>
    <x v="9"/>
    <x v="0"/>
    <n v="72370"/>
  </r>
  <r>
    <s v="CSKU10844_2ES"/>
    <x v="2"/>
    <x v="1"/>
    <x v="0"/>
    <x v="4"/>
    <x v="1"/>
    <x v="7"/>
    <x v="504"/>
    <x v="0"/>
    <x v="9"/>
    <x v="0"/>
    <n v="77260"/>
  </r>
  <r>
    <s v="CSKU10845_2ES"/>
    <x v="2"/>
    <x v="1"/>
    <x v="0"/>
    <x v="0"/>
    <x v="1"/>
    <x v="7"/>
    <x v="504"/>
    <x v="0"/>
    <x v="9"/>
    <x v="0"/>
    <n v="80790"/>
  </r>
  <r>
    <s v="CSKU10846_2ES"/>
    <x v="2"/>
    <x v="1"/>
    <x v="0"/>
    <x v="7"/>
    <x v="1"/>
    <x v="7"/>
    <x v="504"/>
    <x v="0"/>
    <x v="9"/>
    <x v="0"/>
    <n v="84340"/>
  </r>
  <r>
    <s v="CSKU10847_2ES"/>
    <x v="2"/>
    <x v="1"/>
    <x v="1"/>
    <x v="4"/>
    <x v="4"/>
    <x v="7"/>
    <x v="504"/>
    <x v="1"/>
    <x v="9"/>
    <x v="0"/>
    <n v="69210"/>
  </r>
  <r>
    <s v="CSKU10848_2ES"/>
    <x v="2"/>
    <x v="1"/>
    <x v="1"/>
    <x v="0"/>
    <x v="4"/>
    <x v="7"/>
    <x v="504"/>
    <x v="1"/>
    <x v="9"/>
    <x v="0"/>
    <n v="73170"/>
  </r>
  <r>
    <s v="CSKU10849_2ES"/>
    <x v="2"/>
    <x v="1"/>
    <x v="1"/>
    <x v="7"/>
    <x v="4"/>
    <x v="7"/>
    <x v="504"/>
    <x v="1"/>
    <x v="9"/>
    <x v="0"/>
    <n v="77150"/>
  </r>
  <r>
    <s v="CSKU10850_2ES"/>
    <x v="2"/>
    <x v="1"/>
    <x v="1"/>
    <x v="4"/>
    <x v="1"/>
    <x v="7"/>
    <x v="504"/>
    <x v="1"/>
    <x v="9"/>
    <x v="0"/>
    <n v="82040"/>
  </r>
  <r>
    <s v="CSKU10697_2ES"/>
    <x v="2"/>
    <x v="1"/>
    <x v="0"/>
    <x v="4"/>
    <x v="4"/>
    <x v="7"/>
    <x v="138"/>
    <x v="0"/>
    <x v="9"/>
    <x v="0"/>
    <n v="60500"/>
  </r>
  <r>
    <s v="CSKU10698_2ES"/>
    <x v="2"/>
    <x v="1"/>
    <x v="0"/>
    <x v="0"/>
    <x v="4"/>
    <x v="7"/>
    <x v="138"/>
    <x v="0"/>
    <x v="9"/>
    <x v="0"/>
    <n v="64030"/>
  </r>
  <r>
    <s v="CSKU10699_2ES"/>
    <x v="2"/>
    <x v="1"/>
    <x v="0"/>
    <x v="7"/>
    <x v="4"/>
    <x v="7"/>
    <x v="138"/>
    <x v="0"/>
    <x v="9"/>
    <x v="0"/>
    <n v="67600"/>
  </r>
  <r>
    <s v="CSKU10700_2ES"/>
    <x v="2"/>
    <x v="1"/>
    <x v="0"/>
    <x v="4"/>
    <x v="1"/>
    <x v="7"/>
    <x v="138"/>
    <x v="0"/>
    <x v="9"/>
    <x v="0"/>
    <n v="70550"/>
  </r>
  <r>
    <s v="CSKU10701_2ES"/>
    <x v="2"/>
    <x v="1"/>
    <x v="0"/>
    <x v="0"/>
    <x v="1"/>
    <x v="7"/>
    <x v="138"/>
    <x v="0"/>
    <x v="9"/>
    <x v="0"/>
    <n v="74080"/>
  </r>
  <r>
    <s v="CSKU10702_2ES"/>
    <x v="2"/>
    <x v="1"/>
    <x v="0"/>
    <x v="7"/>
    <x v="1"/>
    <x v="7"/>
    <x v="138"/>
    <x v="0"/>
    <x v="9"/>
    <x v="0"/>
    <n v="77630"/>
  </r>
  <r>
    <s v="CSKU10772_2ES"/>
    <x v="2"/>
    <x v="1"/>
    <x v="0"/>
    <x v="4"/>
    <x v="1"/>
    <x v="7"/>
    <x v="508"/>
    <x v="0"/>
    <x v="9"/>
    <x v="0"/>
    <n v="81530"/>
  </r>
  <r>
    <s v="CSKU10733_2ES"/>
    <x v="2"/>
    <x v="1"/>
    <x v="0"/>
    <x v="4"/>
    <x v="4"/>
    <x v="7"/>
    <x v="507"/>
    <x v="0"/>
    <x v="9"/>
    <x v="0"/>
    <n v="56200"/>
  </r>
  <r>
    <s v="CSKU10734_2ES"/>
    <x v="2"/>
    <x v="1"/>
    <x v="0"/>
    <x v="0"/>
    <x v="4"/>
    <x v="7"/>
    <x v="507"/>
    <x v="0"/>
    <x v="9"/>
    <x v="0"/>
    <n v="59730"/>
  </r>
  <r>
    <s v="CSKU10735_2ES"/>
    <x v="2"/>
    <x v="1"/>
    <x v="0"/>
    <x v="7"/>
    <x v="4"/>
    <x v="7"/>
    <x v="507"/>
    <x v="0"/>
    <x v="9"/>
    <x v="0"/>
    <n v="63300"/>
  </r>
  <r>
    <s v="CSKU10736_2ES"/>
    <x v="2"/>
    <x v="1"/>
    <x v="0"/>
    <x v="4"/>
    <x v="1"/>
    <x v="7"/>
    <x v="507"/>
    <x v="0"/>
    <x v="9"/>
    <x v="0"/>
    <n v="65060"/>
  </r>
  <r>
    <s v="CSKU10737_2ES"/>
    <x v="2"/>
    <x v="1"/>
    <x v="0"/>
    <x v="0"/>
    <x v="1"/>
    <x v="7"/>
    <x v="507"/>
    <x v="0"/>
    <x v="9"/>
    <x v="0"/>
    <n v="68590"/>
  </r>
  <r>
    <s v="CSKU10738_2ES"/>
    <x v="2"/>
    <x v="1"/>
    <x v="0"/>
    <x v="7"/>
    <x v="1"/>
    <x v="7"/>
    <x v="507"/>
    <x v="0"/>
    <x v="9"/>
    <x v="0"/>
    <n v="72140"/>
  </r>
  <r>
    <s v="CSKU10517_2ES"/>
    <x v="2"/>
    <x v="1"/>
    <x v="0"/>
    <x v="4"/>
    <x v="4"/>
    <x v="7"/>
    <x v="510"/>
    <x v="0"/>
    <x v="9"/>
    <x v="0"/>
    <n v="60500"/>
  </r>
  <r>
    <s v="CSKU10518_2ES"/>
    <x v="2"/>
    <x v="1"/>
    <x v="0"/>
    <x v="0"/>
    <x v="4"/>
    <x v="7"/>
    <x v="510"/>
    <x v="0"/>
    <x v="9"/>
    <x v="0"/>
    <n v="64030"/>
  </r>
  <r>
    <s v="CSKU10519_2ES"/>
    <x v="2"/>
    <x v="1"/>
    <x v="0"/>
    <x v="7"/>
    <x v="4"/>
    <x v="7"/>
    <x v="510"/>
    <x v="0"/>
    <x v="9"/>
    <x v="0"/>
    <n v="67600"/>
  </r>
  <r>
    <s v="CSKU10520_2ES"/>
    <x v="2"/>
    <x v="1"/>
    <x v="0"/>
    <x v="4"/>
    <x v="1"/>
    <x v="7"/>
    <x v="510"/>
    <x v="0"/>
    <x v="9"/>
    <x v="0"/>
    <n v="70550"/>
  </r>
  <r>
    <s v="CSKU10521_2ES"/>
    <x v="2"/>
    <x v="1"/>
    <x v="0"/>
    <x v="0"/>
    <x v="1"/>
    <x v="7"/>
    <x v="510"/>
    <x v="0"/>
    <x v="9"/>
    <x v="0"/>
    <n v="74080"/>
  </r>
  <r>
    <s v="CSKU10522_2ES"/>
    <x v="2"/>
    <x v="1"/>
    <x v="0"/>
    <x v="7"/>
    <x v="1"/>
    <x v="7"/>
    <x v="510"/>
    <x v="0"/>
    <x v="9"/>
    <x v="0"/>
    <n v="77630"/>
  </r>
  <r>
    <s v="CSKU10523_2ES"/>
    <x v="2"/>
    <x v="1"/>
    <x v="1"/>
    <x v="4"/>
    <x v="4"/>
    <x v="7"/>
    <x v="510"/>
    <x v="1"/>
    <x v="9"/>
    <x v="0"/>
    <n v="64120"/>
  </r>
  <r>
    <s v="CSKU10524_2ES"/>
    <x v="2"/>
    <x v="1"/>
    <x v="1"/>
    <x v="4"/>
    <x v="1"/>
    <x v="7"/>
    <x v="510"/>
    <x v="1"/>
    <x v="9"/>
    <x v="0"/>
    <n v="75010"/>
  </r>
  <r>
    <s v="CSKU10419_2ES"/>
    <x v="2"/>
    <x v="1"/>
    <x v="1"/>
    <x v="7"/>
    <x v="4"/>
    <x v="7"/>
    <x v="136"/>
    <x v="1"/>
    <x v="9"/>
    <x v="0"/>
    <n v="84960"/>
  </r>
  <r>
    <s v="CSKU10420_2ES"/>
    <x v="2"/>
    <x v="1"/>
    <x v="1"/>
    <x v="7"/>
    <x v="1"/>
    <x v="7"/>
    <x v="136"/>
    <x v="1"/>
    <x v="9"/>
    <x v="0"/>
    <n v="99420"/>
  </r>
  <r>
    <s v="CSKU10449_2ES"/>
    <x v="2"/>
    <x v="1"/>
    <x v="0"/>
    <x v="0"/>
    <x v="1"/>
    <x v="7"/>
    <x v="408"/>
    <x v="0"/>
    <x v="9"/>
    <x v="0"/>
    <n v="90550"/>
  </r>
  <r>
    <s v="CSKU10450_2ES"/>
    <x v="2"/>
    <x v="1"/>
    <x v="0"/>
    <x v="7"/>
    <x v="1"/>
    <x v="7"/>
    <x v="408"/>
    <x v="0"/>
    <x v="9"/>
    <x v="0"/>
    <n v="94100"/>
  </r>
  <r>
    <s v="CSKU10451_2ES"/>
    <x v="2"/>
    <x v="1"/>
    <x v="1"/>
    <x v="4"/>
    <x v="4"/>
    <x v="7"/>
    <x v="408"/>
    <x v="1"/>
    <x v="9"/>
    <x v="0"/>
    <n v="77020"/>
  </r>
  <r>
    <s v="CSKU10452_2ES"/>
    <x v="2"/>
    <x v="1"/>
    <x v="1"/>
    <x v="4"/>
    <x v="1"/>
    <x v="7"/>
    <x v="408"/>
    <x v="1"/>
    <x v="9"/>
    <x v="0"/>
    <n v="91480"/>
  </r>
  <r>
    <s v="CSKU10453_2ES"/>
    <x v="2"/>
    <x v="1"/>
    <x v="1"/>
    <x v="0"/>
    <x v="4"/>
    <x v="7"/>
    <x v="408"/>
    <x v="1"/>
    <x v="9"/>
    <x v="0"/>
    <n v="80980"/>
  </r>
  <r>
    <s v="CSKU10454_2ES"/>
    <x v="2"/>
    <x v="1"/>
    <x v="1"/>
    <x v="0"/>
    <x v="1"/>
    <x v="7"/>
    <x v="408"/>
    <x v="1"/>
    <x v="9"/>
    <x v="0"/>
    <n v="95440"/>
  </r>
  <r>
    <s v="CSKU10455_2ES"/>
    <x v="2"/>
    <x v="1"/>
    <x v="1"/>
    <x v="7"/>
    <x v="4"/>
    <x v="7"/>
    <x v="408"/>
    <x v="1"/>
    <x v="9"/>
    <x v="0"/>
    <n v="84960"/>
  </r>
  <r>
    <s v="CSKU10481_2ES"/>
    <x v="2"/>
    <x v="1"/>
    <x v="0"/>
    <x v="4"/>
    <x v="4"/>
    <x v="7"/>
    <x v="511"/>
    <x v="0"/>
    <x v="9"/>
    <x v="0"/>
    <n v="69100"/>
  </r>
  <r>
    <s v="CSKU10482_2ES"/>
    <x v="2"/>
    <x v="1"/>
    <x v="0"/>
    <x v="0"/>
    <x v="4"/>
    <x v="7"/>
    <x v="511"/>
    <x v="0"/>
    <x v="9"/>
    <x v="0"/>
    <n v="72630"/>
  </r>
  <r>
    <s v="CSKU10483_2ES"/>
    <x v="2"/>
    <x v="1"/>
    <x v="0"/>
    <x v="7"/>
    <x v="4"/>
    <x v="7"/>
    <x v="511"/>
    <x v="0"/>
    <x v="9"/>
    <x v="0"/>
    <n v="76200"/>
  </r>
  <r>
    <s v="CSKU10484_2ES"/>
    <x v="2"/>
    <x v="1"/>
    <x v="0"/>
    <x v="4"/>
    <x v="1"/>
    <x v="7"/>
    <x v="511"/>
    <x v="0"/>
    <x v="9"/>
    <x v="0"/>
    <n v="81530"/>
  </r>
  <r>
    <s v="CSKU10485_2ES"/>
    <x v="2"/>
    <x v="1"/>
    <x v="0"/>
    <x v="0"/>
    <x v="1"/>
    <x v="7"/>
    <x v="511"/>
    <x v="0"/>
    <x v="9"/>
    <x v="0"/>
    <n v="85060"/>
  </r>
  <r>
    <s v="CSKU10773_2ES"/>
    <x v="2"/>
    <x v="1"/>
    <x v="0"/>
    <x v="0"/>
    <x v="1"/>
    <x v="7"/>
    <x v="508"/>
    <x v="0"/>
    <x v="9"/>
    <x v="0"/>
    <n v="85060"/>
  </r>
  <r>
    <s v="CSKU10774_2ES"/>
    <x v="2"/>
    <x v="1"/>
    <x v="0"/>
    <x v="7"/>
    <x v="1"/>
    <x v="7"/>
    <x v="508"/>
    <x v="0"/>
    <x v="9"/>
    <x v="0"/>
    <n v="88610"/>
  </r>
  <r>
    <s v="CSKU10775_2ES"/>
    <x v="2"/>
    <x v="1"/>
    <x v="1"/>
    <x v="4"/>
    <x v="4"/>
    <x v="7"/>
    <x v="508"/>
    <x v="1"/>
    <x v="9"/>
    <x v="0"/>
    <n v="72720"/>
  </r>
  <r>
    <s v="CSKU10776_2ES"/>
    <x v="2"/>
    <x v="1"/>
    <x v="1"/>
    <x v="4"/>
    <x v="1"/>
    <x v="7"/>
    <x v="508"/>
    <x v="1"/>
    <x v="9"/>
    <x v="0"/>
    <n v="85990"/>
  </r>
  <r>
    <s v="CSKU10777_2ES"/>
    <x v="2"/>
    <x v="1"/>
    <x v="1"/>
    <x v="0"/>
    <x v="4"/>
    <x v="7"/>
    <x v="508"/>
    <x v="1"/>
    <x v="9"/>
    <x v="0"/>
    <n v="76680"/>
  </r>
  <r>
    <s v="CSKU10778_2ES"/>
    <x v="2"/>
    <x v="1"/>
    <x v="1"/>
    <x v="0"/>
    <x v="1"/>
    <x v="7"/>
    <x v="508"/>
    <x v="1"/>
    <x v="9"/>
    <x v="0"/>
    <n v="89950"/>
  </r>
  <r>
    <s v="CSKU10779_2ES"/>
    <x v="2"/>
    <x v="1"/>
    <x v="1"/>
    <x v="7"/>
    <x v="4"/>
    <x v="7"/>
    <x v="508"/>
    <x v="1"/>
    <x v="9"/>
    <x v="0"/>
    <n v="80660"/>
  </r>
  <r>
    <s v="CSKU10949_2ES"/>
    <x v="2"/>
    <x v="1"/>
    <x v="0"/>
    <x v="4"/>
    <x v="4"/>
    <x v="7"/>
    <x v="140"/>
    <x v="0"/>
    <x v="9"/>
    <x v="0"/>
    <n v="73400"/>
  </r>
  <r>
    <s v="CSKU10950_2ES"/>
    <x v="2"/>
    <x v="1"/>
    <x v="0"/>
    <x v="0"/>
    <x v="4"/>
    <x v="7"/>
    <x v="140"/>
    <x v="0"/>
    <x v="9"/>
    <x v="0"/>
    <n v="76930"/>
  </r>
  <r>
    <s v="CSKU10951_2ES"/>
    <x v="2"/>
    <x v="1"/>
    <x v="0"/>
    <x v="7"/>
    <x v="4"/>
    <x v="7"/>
    <x v="140"/>
    <x v="0"/>
    <x v="9"/>
    <x v="0"/>
    <n v="80500"/>
  </r>
  <r>
    <s v="CSKU10952_2ES"/>
    <x v="2"/>
    <x v="1"/>
    <x v="0"/>
    <x v="4"/>
    <x v="1"/>
    <x v="7"/>
    <x v="140"/>
    <x v="0"/>
    <x v="9"/>
    <x v="0"/>
    <n v="87020"/>
  </r>
  <r>
    <s v="CSKU10953_2ES"/>
    <x v="2"/>
    <x v="1"/>
    <x v="0"/>
    <x v="0"/>
    <x v="1"/>
    <x v="7"/>
    <x v="140"/>
    <x v="0"/>
    <x v="9"/>
    <x v="0"/>
    <n v="90550"/>
  </r>
  <r>
    <s v="CSKU10954_2ES"/>
    <x v="2"/>
    <x v="1"/>
    <x v="0"/>
    <x v="7"/>
    <x v="1"/>
    <x v="7"/>
    <x v="140"/>
    <x v="0"/>
    <x v="9"/>
    <x v="0"/>
    <n v="94100"/>
  </r>
  <r>
    <s v="CSKU10525_2ES"/>
    <x v="2"/>
    <x v="1"/>
    <x v="1"/>
    <x v="0"/>
    <x v="4"/>
    <x v="7"/>
    <x v="510"/>
    <x v="1"/>
    <x v="9"/>
    <x v="0"/>
    <n v="68080"/>
  </r>
  <r>
    <s v="CSKU10526_2ES"/>
    <x v="2"/>
    <x v="1"/>
    <x v="1"/>
    <x v="0"/>
    <x v="1"/>
    <x v="7"/>
    <x v="510"/>
    <x v="1"/>
    <x v="9"/>
    <x v="0"/>
    <n v="78970"/>
  </r>
  <r>
    <s v="CSKU10527_2ES"/>
    <x v="2"/>
    <x v="1"/>
    <x v="1"/>
    <x v="7"/>
    <x v="4"/>
    <x v="7"/>
    <x v="510"/>
    <x v="1"/>
    <x v="9"/>
    <x v="0"/>
    <n v="72060"/>
  </r>
  <r>
    <s v="CSKU10528_2ES"/>
    <x v="2"/>
    <x v="1"/>
    <x v="1"/>
    <x v="7"/>
    <x v="1"/>
    <x v="7"/>
    <x v="510"/>
    <x v="1"/>
    <x v="9"/>
    <x v="0"/>
    <n v="82950"/>
  </r>
  <r>
    <s v="CSKU10553_2ES"/>
    <x v="2"/>
    <x v="1"/>
    <x v="0"/>
    <x v="4"/>
    <x v="4"/>
    <x v="7"/>
    <x v="137"/>
    <x v="0"/>
    <x v="9"/>
    <x v="0"/>
    <n v="55030"/>
  </r>
  <r>
    <s v="CSKU10554_2ES"/>
    <x v="2"/>
    <x v="1"/>
    <x v="0"/>
    <x v="0"/>
    <x v="4"/>
    <x v="7"/>
    <x v="137"/>
    <x v="0"/>
    <x v="9"/>
    <x v="0"/>
    <n v="58560"/>
  </r>
  <r>
    <s v="CSKU10555_2ES"/>
    <x v="2"/>
    <x v="1"/>
    <x v="0"/>
    <x v="7"/>
    <x v="4"/>
    <x v="7"/>
    <x v="137"/>
    <x v="0"/>
    <x v="9"/>
    <x v="0"/>
    <n v="62130"/>
  </r>
  <r>
    <s v="CSKU10556_2ES"/>
    <x v="2"/>
    <x v="1"/>
    <x v="0"/>
    <x v="4"/>
    <x v="1"/>
    <x v="7"/>
    <x v="137"/>
    <x v="0"/>
    <x v="9"/>
    <x v="0"/>
    <n v="63750"/>
  </r>
  <r>
    <s v="CSKU10557_2ES"/>
    <x v="2"/>
    <x v="1"/>
    <x v="0"/>
    <x v="0"/>
    <x v="1"/>
    <x v="7"/>
    <x v="137"/>
    <x v="0"/>
    <x v="9"/>
    <x v="0"/>
    <n v="67280"/>
  </r>
  <r>
    <s v="CSKU10589_2ES"/>
    <x v="2"/>
    <x v="1"/>
    <x v="0"/>
    <x v="4"/>
    <x v="4"/>
    <x v="7"/>
    <x v="512"/>
    <x v="0"/>
    <x v="9"/>
    <x v="0"/>
    <n v="52370"/>
  </r>
  <r>
    <s v="CSKU10590_2ES"/>
    <x v="2"/>
    <x v="1"/>
    <x v="0"/>
    <x v="0"/>
    <x v="4"/>
    <x v="7"/>
    <x v="512"/>
    <x v="0"/>
    <x v="9"/>
    <x v="0"/>
    <n v="55900"/>
  </r>
  <r>
    <s v="CSKU10591_2ES"/>
    <x v="2"/>
    <x v="1"/>
    <x v="0"/>
    <x v="7"/>
    <x v="4"/>
    <x v="7"/>
    <x v="512"/>
    <x v="0"/>
    <x v="9"/>
    <x v="0"/>
    <n v="59470"/>
  </r>
  <r>
    <s v="CSKU10592_2ES"/>
    <x v="2"/>
    <x v="1"/>
    <x v="0"/>
    <x v="4"/>
    <x v="1"/>
    <x v="7"/>
    <x v="512"/>
    <x v="0"/>
    <x v="9"/>
    <x v="0"/>
    <n v="60790"/>
  </r>
  <r>
    <s v="CSKU10593_2ES"/>
    <x v="2"/>
    <x v="1"/>
    <x v="0"/>
    <x v="0"/>
    <x v="1"/>
    <x v="7"/>
    <x v="512"/>
    <x v="0"/>
    <x v="9"/>
    <x v="0"/>
    <n v="64320"/>
  </r>
  <r>
    <s v="CSKU10373_2ES"/>
    <x v="2"/>
    <x v="1"/>
    <x v="0"/>
    <x v="4"/>
    <x v="4"/>
    <x v="7"/>
    <x v="135"/>
    <x v="0"/>
    <x v="9"/>
    <x v="0"/>
    <n v="67930"/>
  </r>
  <r>
    <s v="CSKU10374_2ES"/>
    <x v="2"/>
    <x v="1"/>
    <x v="0"/>
    <x v="0"/>
    <x v="4"/>
    <x v="7"/>
    <x v="135"/>
    <x v="0"/>
    <x v="9"/>
    <x v="0"/>
    <n v="71460"/>
  </r>
  <r>
    <s v="CSKU10375_2ES"/>
    <x v="2"/>
    <x v="1"/>
    <x v="0"/>
    <x v="7"/>
    <x v="4"/>
    <x v="7"/>
    <x v="135"/>
    <x v="0"/>
    <x v="9"/>
    <x v="0"/>
    <n v="75030"/>
  </r>
  <r>
    <s v="CSKU10376_2ES"/>
    <x v="2"/>
    <x v="1"/>
    <x v="0"/>
    <x v="4"/>
    <x v="1"/>
    <x v="7"/>
    <x v="135"/>
    <x v="0"/>
    <x v="9"/>
    <x v="0"/>
    <n v="80220"/>
  </r>
  <r>
    <s v="CSKU10377_2ES"/>
    <x v="2"/>
    <x v="1"/>
    <x v="0"/>
    <x v="0"/>
    <x v="1"/>
    <x v="7"/>
    <x v="135"/>
    <x v="0"/>
    <x v="9"/>
    <x v="0"/>
    <n v="83750"/>
  </r>
  <r>
    <s v="CSKU10378_2ES"/>
    <x v="2"/>
    <x v="1"/>
    <x v="0"/>
    <x v="7"/>
    <x v="1"/>
    <x v="7"/>
    <x v="135"/>
    <x v="0"/>
    <x v="9"/>
    <x v="0"/>
    <n v="87300"/>
  </r>
  <r>
    <s v="CSKU10558_2ES"/>
    <x v="2"/>
    <x v="1"/>
    <x v="0"/>
    <x v="7"/>
    <x v="1"/>
    <x v="7"/>
    <x v="137"/>
    <x v="0"/>
    <x v="9"/>
    <x v="0"/>
    <n v="70830"/>
  </r>
  <r>
    <s v="CSKU10559_2ES"/>
    <x v="2"/>
    <x v="1"/>
    <x v="1"/>
    <x v="4"/>
    <x v="4"/>
    <x v="7"/>
    <x v="137"/>
    <x v="1"/>
    <x v="9"/>
    <x v="0"/>
    <n v="58650"/>
  </r>
  <r>
    <s v="CSKU10560_2ES"/>
    <x v="2"/>
    <x v="1"/>
    <x v="1"/>
    <x v="4"/>
    <x v="1"/>
    <x v="7"/>
    <x v="137"/>
    <x v="1"/>
    <x v="9"/>
    <x v="0"/>
    <n v="68210"/>
  </r>
  <r>
    <s v="CSKU10561_2ES"/>
    <x v="2"/>
    <x v="1"/>
    <x v="1"/>
    <x v="0"/>
    <x v="4"/>
    <x v="7"/>
    <x v="137"/>
    <x v="1"/>
    <x v="9"/>
    <x v="0"/>
    <n v="62610"/>
  </r>
  <r>
    <s v="CSKU10562_2ES"/>
    <x v="2"/>
    <x v="1"/>
    <x v="1"/>
    <x v="0"/>
    <x v="1"/>
    <x v="7"/>
    <x v="137"/>
    <x v="1"/>
    <x v="9"/>
    <x v="0"/>
    <n v="72170"/>
  </r>
  <r>
    <s v="CSKU10563_2ES"/>
    <x v="2"/>
    <x v="1"/>
    <x v="1"/>
    <x v="7"/>
    <x v="4"/>
    <x v="7"/>
    <x v="137"/>
    <x v="1"/>
    <x v="9"/>
    <x v="0"/>
    <n v="66590"/>
  </r>
  <r>
    <s v="CSKU10594_2ES"/>
    <x v="2"/>
    <x v="1"/>
    <x v="0"/>
    <x v="7"/>
    <x v="1"/>
    <x v="7"/>
    <x v="512"/>
    <x v="0"/>
    <x v="9"/>
    <x v="0"/>
    <n v="67870"/>
  </r>
  <r>
    <s v="CSKU10409_2ES"/>
    <x v="2"/>
    <x v="1"/>
    <x v="0"/>
    <x v="4"/>
    <x v="4"/>
    <x v="7"/>
    <x v="136"/>
    <x v="0"/>
    <x v="9"/>
    <x v="0"/>
    <n v="73400"/>
  </r>
  <r>
    <s v="CSKU10595_2ES"/>
    <x v="2"/>
    <x v="1"/>
    <x v="1"/>
    <x v="4"/>
    <x v="4"/>
    <x v="7"/>
    <x v="512"/>
    <x v="1"/>
    <x v="9"/>
    <x v="0"/>
    <n v="56310"/>
  </r>
  <r>
    <s v="CSKU10596_2ES"/>
    <x v="2"/>
    <x v="1"/>
    <x v="1"/>
    <x v="0"/>
    <x v="4"/>
    <x v="7"/>
    <x v="512"/>
    <x v="1"/>
    <x v="9"/>
    <x v="0"/>
    <n v="60270"/>
  </r>
  <r>
    <s v="CSKU10597_2ES"/>
    <x v="2"/>
    <x v="1"/>
    <x v="1"/>
    <x v="7"/>
    <x v="4"/>
    <x v="7"/>
    <x v="512"/>
    <x v="1"/>
    <x v="9"/>
    <x v="0"/>
    <n v="64250"/>
  </r>
  <r>
    <s v="CSKU10598_2ES"/>
    <x v="2"/>
    <x v="1"/>
    <x v="1"/>
    <x v="4"/>
    <x v="1"/>
    <x v="7"/>
    <x v="512"/>
    <x v="1"/>
    <x v="9"/>
    <x v="0"/>
    <n v="65570"/>
  </r>
  <r>
    <s v="CSKU10599_2ES"/>
    <x v="2"/>
    <x v="1"/>
    <x v="1"/>
    <x v="0"/>
    <x v="1"/>
    <x v="7"/>
    <x v="512"/>
    <x v="1"/>
    <x v="9"/>
    <x v="0"/>
    <n v="69530"/>
  </r>
  <r>
    <s v="CSKU10600_2ES"/>
    <x v="2"/>
    <x v="1"/>
    <x v="1"/>
    <x v="7"/>
    <x v="1"/>
    <x v="7"/>
    <x v="512"/>
    <x v="1"/>
    <x v="9"/>
    <x v="0"/>
    <n v="73510"/>
  </r>
  <r>
    <s v="CSKU10196_2ES"/>
    <x v="2"/>
    <x v="1"/>
    <x v="0"/>
    <x v="4"/>
    <x v="1"/>
    <x v="7"/>
    <x v="402"/>
    <x v="0"/>
    <x v="9"/>
    <x v="0"/>
    <n v="70550"/>
  </r>
  <r>
    <s v="CSKU10197_2ES"/>
    <x v="2"/>
    <x v="1"/>
    <x v="0"/>
    <x v="0"/>
    <x v="1"/>
    <x v="7"/>
    <x v="402"/>
    <x v="0"/>
    <x v="9"/>
    <x v="0"/>
    <n v="74080"/>
  </r>
  <r>
    <s v="CSKU10198_2ES"/>
    <x v="2"/>
    <x v="1"/>
    <x v="0"/>
    <x v="7"/>
    <x v="1"/>
    <x v="7"/>
    <x v="402"/>
    <x v="0"/>
    <x v="9"/>
    <x v="0"/>
    <n v="77630"/>
  </r>
  <r>
    <s v="CSKU10199_2ES"/>
    <x v="2"/>
    <x v="1"/>
    <x v="1"/>
    <x v="4"/>
    <x v="4"/>
    <x v="7"/>
    <x v="402"/>
    <x v="1"/>
    <x v="9"/>
    <x v="0"/>
    <n v="64120"/>
  </r>
  <r>
    <s v="CSKU10200_2ES"/>
    <x v="2"/>
    <x v="1"/>
    <x v="1"/>
    <x v="4"/>
    <x v="1"/>
    <x v="7"/>
    <x v="402"/>
    <x v="1"/>
    <x v="9"/>
    <x v="0"/>
    <n v="75010"/>
  </r>
  <r>
    <s v="CSKU10201_2ES"/>
    <x v="2"/>
    <x v="1"/>
    <x v="1"/>
    <x v="0"/>
    <x v="4"/>
    <x v="7"/>
    <x v="402"/>
    <x v="1"/>
    <x v="9"/>
    <x v="0"/>
    <n v="68080"/>
  </r>
  <r>
    <s v="CSKU10202_2ES"/>
    <x v="2"/>
    <x v="1"/>
    <x v="1"/>
    <x v="0"/>
    <x v="1"/>
    <x v="7"/>
    <x v="402"/>
    <x v="1"/>
    <x v="9"/>
    <x v="0"/>
    <n v="78970"/>
  </r>
  <r>
    <s v="CSKU10203_2ES"/>
    <x v="2"/>
    <x v="1"/>
    <x v="1"/>
    <x v="7"/>
    <x v="4"/>
    <x v="7"/>
    <x v="402"/>
    <x v="1"/>
    <x v="9"/>
    <x v="0"/>
    <n v="72060"/>
  </r>
  <r>
    <s v="CSKU10238_2ES"/>
    <x v="2"/>
    <x v="1"/>
    <x v="1"/>
    <x v="0"/>
    <x v="1"/>
    <x v="7"/>
    <x v="409"/>
    <x v="1"/>
    <x v="9"/>
    <x v="0"/>
    <n v="78970"/>
  </r>
  <r>
    <s v="CSKU10239_2ES"/>
    <x v="2"/>
    <x v="1"/>
    <x v="1"/>
    <x v="7"/>
    <x v="4"/>
    <x v="7"/>
    <x v="409"/>
    <x v="1"/>
    <x v="9"/>
    <x v="0"/>
    <n v="72060"/>
  </r>
  <r>
    <s v="CSKU10240_2ES"/>
    <x v="2"/>
    <x v="1"/>
    <x v="1"/>
    <x v="7"/>
    <x v="1"/>
    <x v="7"/>
    <x v="409"/>
    <x v="1"/>
    <x v="9"/>
    <x v="0"/>
    <n v="82950"/>
  </r>
  <r>
    <s v="CSKU10456_2ES"/>
    <x v="2"/>
    <x v="1"/>
    <x v="1"/>
    <x v="7"/>
    <x v="1"/>
    <x v="7"/>
    <x v="408"/>
    <x v="1"/>
    <x v="9"/>
    <x v="0"/>
    <n v="99420"/>
  </r>
  <r>
    <s v="CSKU10265_2ES"/>
    <x v="2"/>
    <x v="1"/>
    <x v="0"/>
    <x v="4"/>
    <x v="4"/>
    <x v="7"/>
    <x v="133"/>
    <x v="0"/>
    <x v="9"/>
    <x v="0"/>
    <n v="60500"/>
  </r>
  <r>
    <s v="CSKU10266_2ES"/>
    <x v="2"/>
    <x v="1"/>
    <x v="0"/>
    <x v="0"/>
    <x v="4"/>
    <x v="7"/>
    <x v="133"/>
    <x v="0"/>
    <x v="9"/>
    <x v="0"/>
    <n v="64030"/>
  </r>
  <r>
    <s v="CSKU10267_2ES"/>
    <x v="2"/>
    <x v="1"/>
    <x v="0"/>
    <x v="7"/>
    <x v="4"/>
    <x v="7"/>
    <x v="133"/>
    <x v="0"/>
    <x v="9"/>
    <x v="0"/>
    <n v="67600"/>
  </r>
  <r>
    <s v="CSKU10268_2ES"/>
    <x v="2"/>
    <x v="1"/>
    <x v="0"/>
    <x v="4"/>
    <x v="1"/>
    <x v="7"/>
    <x v="133"/>
    <x v="0"/>
    <x v="9"/>
    <x v="0"/>
    <n v="70550"/>
  </r>
  <r>
    <s v="CSKU10269_2ES"/>
    <x v="2"/>
    <x v="1"/>
    <x v="0"/>
    <x v="0"/>
    <x v="1"/>
    <x v="7"/>
    <x v="133"/>
    <x v="0"/>
    <x v="9"/>
    <x v="0"/>
    <n v="74080"/>
  </r>
  <r>
    <s v="CSKU10305_2ES"/>
    <x v="2"/>
    <x v="1"/>
    <x v="0"/>
    <x v="0"/>
    <x v="1"/>
    <x v="7"/>
    <x v="134"/>
    <x v="0"/>
    <x v="9"/>
    <x v="0"/>
    <n v="90550"/>
  </r>
  <r>
    <s v="CSKU10306_2ES"/>
    <x v="2"/>
    <x v="1"/>
    <x v="0"/>
    <x v="7"/>
    <x v="1"/>
    <x v="7"/>
    <x v="134"/>
    <x v="0"/>
    <x v="9"/>
    <x v="0"/>
    <n v="94100"/>
  </r>
  <r>
    <s v="CSKU10307_2ES"/>
    <x v="2"/>
    <x v="1"/>
    <x v="1"/>
    <x v="4"/>
    <x v="4"/>
    <x v="7"/>
    <x v="134"/>
    <x v="1"/>
    <x v="9"/>
    <x v="0"/>
    <n v="77020"/>
  </r>
  <r>
    <s v="CSKU10308_2ES"/>
    <x v="2"/>
    <x v="1"/>
    <x v="1"/>
    <x v="4"/>
    <x v="1"/>
    <x v="7"/>
    <x v="134"/>
    <x v="1"/>
    <x v="9"/>
    <x v="0"/>
    <n v="91480"/>
  </r>
  <r>
    <s v="CSKU10309_2ES"/>
    <x v="2"/>
    <x v="1"/>
    <x v="1"/>
    <x v="0"/>
    <x v="4"/>
    <x v="7"/>
    <x v="134"/>
    <x v="1"/>
    <x v="9"/>
    <x v="0"/>
    <n v="80980"/>
  </r>
  <r>
    <s v="CSKU10310_2ES"/>
    <x v="2"/>
    <x v="1"/>
    <x v="1"/>
    <x v="0"/>
    <x v="1"/>
    <x v="7"/>
    <x v="134"/>
    <x v="1"/>
    <x v="9"/>
    <x v="0"/>
    <n v="95440"/>
  </r>
  <r>
    <s v="CSKU10337_2ES"/>
    <x v="2"/>
    <x v="1"/>
    <x v="0"/>
    <x v="4"/>
    <x v="4"/>
    <x v="7"/>
    <x v="513"/>
    <x v="0"/>
    <x v="9"/>
    <x v="0"/>
    <n v="69100"/>
  </r>
  <r>
    <s v="CSKU10338_2ES"/>
    <x v="2"/>
    <x v="1"/>
    <x v="0"/>
    <x v="0"/>
    <x v="4"/>
    <x v="7"/>
    <x v="513"/>
    <x v="0"/>
    <x v="9"/>
    <x v="0"/>
    <n v="72630"/>
  </r>
  <r>
    <s v="CSKU10339_2ES"/>
    <x v="2"/>
    <x v="1"/>
    <x v="0"/>
    <x v="7"/>
    <x v="4"/>
    <x v="7"/>
    <x v="513"/>
    <x v="0"/>
    <x v="9"/>
    <x v="0"/>
    <n v="76200"/>
  </r>
  <r>
    <s v="CSKU10340_2ES"/>
    <x v="2"/>
    <x v="1"/>
    <x v="0"/>
    <x v="4"/>
    <x v="1"/>
    <x v="7"/>
    <x v="513"/>
    <x v="0"/>
    <x v="9"/>
    <x v="0"/>
    <n v="81530"/>
  </r>
  <r>
    <s v="CSKU10341_2ES"/>
    <x v="2"/>
    <x v="1"/>
    <x v="0"/>
    <x v="0"/>
    <x v="1"/>
    <x v="7"/>
    <x v="513"/>
    <x v="0"/>
    <x v="9"/>
    <x v="0"/>
    <n v="85060"/>
  </r>
  <r>
    <s v="CSKU10342_2ES"/>
    <x v="2"/>
    <x v="1"/>
    <x v="0"/>
    <x v="7"/>
    <x v="1"/>
    <x v="7"/>
    <x v="513"/>
    <x v="0"/>
    <x v="9"/>
    <x v="0"/>
    <n v="88610"/>
  </r>
  <r>
    <s v="CSKU10486_2ES"/>
    <x v="2"/>
    <x v="1"/>
    <x v="0"/>
    <x v="7"/>
    <x v="1"/>
    <x v="7"/>
    <x v="511"/>
    <x v="0"/>
    <x v="9"/>
    <x v="0"/>
    <n v="88610"/>
  </r>
  <r>
    <s v="CSKU10020_2ES"/>
    <x v="2"/>
    <x v="1"/>
    <x v="1"/>
    <x v="0"/>
    <x v="4"/>
    <x v="7"/>
    <x v="417"/>
    <x v="1"/>
    <x v="9"/>
    <x v="0"/>
    <n v="73170"/>
  </r>
  <r>
    <s v="CSKU10021_2ES"/>
    <x v="2"/>
    <x v="1"/>
    <x v="1"/>
    <x v="7"/>
    <x v="4"/>
    <x v="7"/>
    <x v="417"/>
    <x v="1"/>
    <x v="9"/>
    <x v="0"/>
    <n v="77150"/>
  </r>
  <r>
    <s v="CSKU10022_2ES"/>
    <x v="2"/>
    <x v="1"/>
    <x v="1"/>
    <x v="4"/>
    <x v="1"/>
    <x v="7"/>
    <x v="417"/>
    <x v="1"/>
    <x v="9"/>
    <x v="0"/>
    <n v="82040"/>
  </r>
  <r>
    <s v="CSKU10023_2ES"/>
    <x v="2"/>
    <x v="1"/>
    <x v="1"/>
    <x v="0"/>
    <x v="1"/>
    <x v="7"/>
    <x v="417"/>
    <x v="1"/>
    <x v="9"/>
    <x v="0"/>
    <n v="86000"/>
  </r>
  <r>
    <s v="CSKU10024_2ES"/>
    <x v="2"/>
    <x v="1"/>
    <x v="1"/>
    <x v="7"/>
    <x v="1"/>
    <x v="7"/>
    <x v="417"/>
    <x v="1"/>
    <x v="9"/>
    <x v="0"/>
    <n v="89980"/>
  </r>
  <r>
    <s v="CSKU10051_2ES"/>
    <x v="2"/>
    <x v="1"/>
    <x v="0"/>
    <x v="7"/>
    <x v="4"/>
    <x v="7"/>
    <x v="403"/>
    <x v="0"/>
    <x v="9"/>
    <x v="0"/>
    <n v="63300"/>
  </r>
  <r>
    <s v="CSKU10052_2ES"/>
    <x v="2"/>
    <x v="1"/>
    <x v="0"/>
    <x v="4"/>
    <x v="1"/>
    <x v="7"/>
    <x v="403"/>
    <x v="0"/>
    <x v="9"/>
    <x v="0"/>
    <n v="65060"/>
  </r>
  <r>
    <s v="CSKU10053_2ES"/>
    <x v="2"/>
    <x v="1"/>
    <x v="0"/>
    <x v="0"/>
    <x v="1"/>
    <x v="7"/>
    <x v="403"/>
    <x v="0"/>
    <x v="9"/>
    <x v="0"/>
    <n v="68590"/>
  </r>
  <r>
    <s v="CSKU10054_2ES"/>
    <x v="2"/>
    <x v="1"/>
    <x v="0"/>
    <x v="7"/>
    <x v="1"/>
    <x v="7"/>
    <x v="403"/>
    <x v="0"/>
    <x v="9"/>
    <x v="0"/>
    <n v="72140"/>
  </r>
  <r>
    <s v="CSKU10055_2ES"/>
    <x v="2"/>
    <x v="1"/>
    <x v="1"/>
    <x v="4"/>
    <x v="4"/>
    <x v="7"/>
    <x v="403"/>
    <x v="1"/>
    <x v="9"/>
    <x v="0"/>
    <n v="59820"/>
  </r>
  <r>
    <s v="CSKU10056_2ES"/>
    <x v="2"/>
    <x v="1"/>
    <x v="1"/>
    <x v="4"/>
    <x v="1"/>
    <x v="7"/>
    <x v="403"/>
    <x v="1"/>
    <x v="9"/>
    <x v="0"/>
    <n v="69520"/>
  </r>
  <r>
    <s v="CSKU10057_2ES"/>
    <x v="2"/>
    <x v="1"/>
    <x v="1"/>
    <x v="0"/>
    <x v="4"/>
    <x v="7"/>
    <x v="403"/>
    <x v="1"/>
    <x v="9"/>
    <x v="0"/>
    <n v="63780"/>
  </r>
  <r>
    <s v="CSKU10058_2ES"/>
    <x v="2"/>
    <x v="1"/>
    <x v="1"/>
    <x v="0"/>
    <x v="1"/>
    <x v="7"/>
    <x v="403"/>
    <x v="1"/>
    <x v="9"/>
    <x v="0"/>
    <n v="73480"/>
  </r>
  <r>
    <s v="CSKU10093_2ES"/>
    <x v="2"/>
    <x v="1"/>
    <x v="1"/>
    <x v="0"/>
    <x v="4"/>
    <x v="7"/>
    <x v="404"/>
    <x v="1"/>
    <x v="9"/>
    <x v="0"/>
    <n v="68080"/>
  </r>
  <r>
    <s v="CSKU10094_2ES"/>
    <x v="2"/>
    <x v="1"/>
    <x v="1"/>
    <x v="0"/>
    <x v="1"/>
    <x v="7"/>
    <x v="404"/>
    <x v="1"/>
    <x v="9"/>
    <x v="0"/>
    <n v="78970"/>
  </r>
  <r>
    <s v="CSKU10095_2ES"/>
    <x v="2"/>
    <x v="1"/>
    <x v="1"/>
    <x v="7"/>
    <x v="4"/>
    <x v="7"/>
    <x v="404"/>
    <x v="1"/>
    <x v="9"/>
    <x v="0"/>
    <n v="72060"/>
  </r>
  <r>
    <s v="CSKU10096_2ES"/>
    <x v="2"/>
    <x v="1"/>
    <x v="1"/>
    <x v="7"/>
    <x v="1"/>
    <x v="7"/>
    <x v="404"/>
    <x v="1"/>
    <x v="9"/>
    <x v="0"/>
    <n v="82950"/>
  </r>
  <r>
    <s v="CSKU10126_2ES"/>
    <x v="2"/>
    <x v="1"/>
    <x v="0"/>
    <x v="7"/>
    <x v="1"/>
    <x v="7"/>
    <x v="405"/>
    <x v="0"/>
    <x v="9"/>
    <x v="0"/>
    <n v="70830"/>
  </r>
  <r>
    <s v="CSKU10127_2ES"/>
    <x v="2"/>
    <x v="1"/>
    <x v="1"/>
    <x v="4"/>
    <x v="4"/>
    <x v="7"/>
    <x v="405"/>
    <x v="1"/>
    <x v="9"/>
    <x v="0"/>
    <n v="58650"/>
  </r>
  <r>
    <s v="CSKU10128_2ES"/>
    <x v="2"/>
    <x v="1"/>
    <x v="1"/>
    <x v="4"/>
    <x v="1"/>
    <x v="7"/>
    <x v="405"/>
    <x v="1"/>
    <x v="9"/>
    <x v="0"/>
    <n v="68210"/>
  </r>
  <r>
    <s v="CSKU10129_2ES"/>
    <x v="2"/>
    <x v="1"/>
    <x v="1"/>
    <x v="0"/>
    <x v="4"/>
    <x v="7"/>
    <x v="405"/>
    <x v="1"/>
    <x v="9"/>
    <x v="0"/>
    <n v="62610"/>
  </r>
  <r>
    <s v="CSKU10130_2ES"/>
    <x v="2"/>
    <x v="1"/>
    <x v="1"/>
    <x v="0"/>
    <x v="1"/>
    <x v="7"/>
    <x v="405"/>
    <x v="1"/>
    <x v="9"/>
    <x v="0"/>
    <n v="72170"/>
  </r>
  <r>
    <s v="CSKU10131_2ES"/>
    <x v="2"/>
    <x v="1"/>
    <x v="1"/>
    <x v="7"/>
    <x v="4"/>
    <x v="7"/>
    <x v="405"/>
    <x v="1"/>
    <x v="9"/>
    <x v="0"/>
    <n v="66590"/>
  </r>
  <r>
    <s v="CSKU10132_2ES"/>
    <x v="2"/>
    <x v="1"/>
    <x v="1"/>
    <x v="7"/>
    <x v="1"/>
    <x v="7"/>
    <x v="405"/>
    <x v="1"/>
    <x v="9"/>
    <x v="0"/>
    <n v="76150"/>
  </r>
  <r>
    <s v="CSKU10162_2ES"/>
    <x v="2"/>
    <x v="1"/>
    <x v="0"/>
    <x v="7"/>
    <x v="1"/>
    <x v="7"/>
    <x v="406"/>
    <x v="0"/>
    <x v="9"/>
    <x v="0"/>
    <n v="67870"/>
  </r>
  <r>
    <s v="CSKU10163_2ES"/>
    <x v="2"/>
    <x v="1"/>
    <x v="1"/>
    <x v="4"/>
    <x v="4"/>
    <x v="7"/>
    <x v="406"/>
    <x v="1"/>
    <x v="9"/>
    <x v="0"/>
    <n v="56310"/>
  </r>
  <r>
    <s v="CSKU10164_2ES"/>
    <x v="2"/>
    <x v="1"/>
    <x v="1"/>
    <x v="0"/>
    <x v="4"/>
    <x v="7"/>
    <x v="406"/>
    <x v="1"/>
    <x v="9"/>
    <x v="0"/>
    <n v="60270"/>
  </r>
  <r>
    <s v="CSKU10165_2ES"/>
    <x v="2"/>
    <x v="1"/>
    <x v="1"/>
    <x v="7"/>
    <x v="4"/>
    <x v="7"/>
    <x v="406"/>
    <x v="1"/>
    <x v="9"/>
    <x v="0"/>
    <n v="64250"/>
  </r>
  <r>
    <s v="CSKU10166_2ES"/>
    <x v="2"/>
    <x v="1"/>
    <x v="1"/>
    <x v="4"/>
    <x v="1"/>
    <x v="7"/>
    <x v="406"/>
    <x v="1"/>
    <x v="9"/>
    <x v="0"/>
    <n v="65570"/>
  </r>
  <r>
    <s v="CSKU10167_2ES"/>
    <x v="2"/>
    <x v="1"/>
    <x v="1"/>
    <x v="0"/>
    <x v="1"/>
    <x v="7"/>
    <x v="406"/>
    <x v="1"/>
    <x v="9"/>
    <x v="0"/>
    <n v="69530"/>
  </r>
  <r>
    <s v="CSKU10168_2ES"/>
    <x v="2"/>
    <x v="1"/>
    <x v="1"/>
    <x v="7"/>
    <x v="1"/>
    <x v="7"/>
    <x v="406"/>
    <x v="1"/>
    <x v="9"/>
    <x v="0"/>
    <n v="73510"/>
  </r>
  <r>
    <s v="CSKU10204_2ES"/>
    <x v="2"/>
    <x v="1"/>
    <x v="1"/>
    <x v="7"/>
    <x v="1"/>
    <x v="7"/>
    <x v="402"/>
    <x v="1"/>
    <x v="9"/>
    <x v="0"/>
    <n v="82950"/>
  </r>
  <r>
    <s v="CSKU10487_2ES"/>
    <x v="2"/>
    <x v="1"/>
    <x v="1"/>
    <x v="4"/>
    <x v="4"/>
    <x v="7"/>
    <x v="511"/>
    <x v="1"/>
    <x v="9"/>
    <x v="0"/>
    <n v="72720"/>
  </r>
  <r>
    <s v="CSKU10488_2ES"/>
    <x v="2"/>
    <x v="1"/>
    <x v="1"/>
    <x v="4"/>
    <x v="1"/>
    <x v="7"/>
    <x v="511"/>
    <x v="1"/>
    <x v="9"/>
    <x v="0"/>
    <n v="85990"/>
  </r>
  <r>
    <s v="CSKU10489_2ES"/>
    <x v="2"/>
    <x v="1"/>
    <x v="1"/>
    <x v="0"/>
    <x v="4"/>
    <x v="7"/>
    <x v="511"/>
    <x v="1"/>
    <x v="9"/>
    <x v="0"/>
    <n v="76680"/>
  </r>
  <r>
    <s v="CSKU10490_2ES"/>
    <x v="2"/>
    <x v="1"/>
    <x v="1"/>
    <x v="0"/>
    <x v="1"/>
    <x v="7"/>
    <x v="511"/>
    <x v="1"/>
    <x v="9"/>
    <x v="0"/>
    <n v="89950"/>
  </r>
  <r>
    <s v="CSKU10491_2ES"/>
    <x v="2"/>
    <x v="1"/>
    <x v="1"/>
    <x v="7"/>
    <x v="4"/>
    <x v="7"/>
    <x v="511"/>
    <x v="1"/>
    <x v="9"/>
    <x v="0"/>
    <n v="80660"/>
  </r>
  <r>
    <s v="CSKU10492_2ES"/>
    <x v="2"/>
    <x v="1"/>
    <x v="1"/>
    <x v="7"/>
    <x v="1"/>
    <x v="7"/>
    <x v="511"/>
    <x v="1"/>
    <x v="9"/>
    <x v="0"/>
    <n v="93930"/>
  </r>
  <r>
    <s v="CSKU10343_2ES"/>
    <x v="2"/>
    <x v="1"/>
    <x v="1"/>
    <x v="4"/>
    <x v="4"/>
    <x v="7"/>
    <x v="513"/>
    <x v="1"/>
    <x v="9"/>
    <x v="0"/>
    <n v="72720"/>
  </r>
  <r>
    <s v="CSKU10344_2ES"/>
    <x v="2"/>
    <x v="1"/>
    <x v="1"/>
    <x v="4"/>
    <x v="1"/>
    <x v="7"/>
    <x v="513"/>
    <x v="1"/>
    <x v="9"/>
    <x v="0"/>
    <n v="85990"/>
  </r>
  <r>
    <s v="CSKU10345_2ES"/>
    <x v="2"/>
    <x v="1"/>
    <x v="1"/>
    <x v="0"/>
    <x v="4"/>
    <x v="7"/>
    <x v="513"/>
    <x v="1"/>
    <x v="9"/>
    <x v="0"/>
    <n v="76680"/>
  </r>
  <r>
    <s v="CSKU10346_2ES"/>
    <x v="2"/>
    <x v="1"/>
    <x v="1"/>
    <x v="0"/>
    <x v="1"/>
    <x v="7"/>
    <x v="513"/>
    <x v="1"/>
    <x v="9"/>
    <x v="0"/>
    <n v="89950"/>
  </r>
  <r>
    <s v="CSKU10347_2ES"/>
    <x v="2"/>
    <x v="1"/>
    <x v="1"/>
    <x v="7"/>
    <x v="4"/>
    <x v="7"/>
    <x v="513"/>
    <x v="1"/>
    <x v="9"/>
    <x v="0"/>
    <n v="80660"/>
  </r>
  <r>
    <s v="CSKU10348_2ES"/>
    <x v="2"/>
    <x v="1"/>
    <x v="1"/>
    <x v="7"/>
    <x v="1"/>
    <x v="7"/>
    <x v="513"/>
    <x v="1"/>
    <x v="9"/>
    <x v="0"/>
    <n v="93930"/>
  </r>
  <r>
    <s v="CSKU10059_2ES"/>
    <x v="2"/>
    <x v="1"/>
    <x v="1"/>
    <x v="7"/>
    <x v="4"/>
    <x v="7"/>
    <x v="403"/>
    <x v="1"/>
    <x v="9"/>
    <x v="0"/>
    <n v="67760"/>
  </r>
  <r>
    <s v="CSKU09908_2ES"/>
    <x v="2"/>
    <x v="1"/>
    <x v="0"/>
    <x v="4"/>
    <x v="1"/>
    <x v="7"/>
    <x v="411"/>
    <x v="0"/>
    <x v="9"/>
    <x v="0"/>
    <n v="87020"/>
  </r>
  <r>
    <s v="CSKU09909_2ES"/>
    <x v="2"/>
    <x v="1"/>
    <x v="0"/>
    <x v="0"/>
    <x v="1"/>
    <x v="7"/>
    <x v="411"/>
    <x v="0"/>
    <x v="9"/>
    <x v="0"/>
    <n v="90550"/>
  </r>
  <r>
    <s v="CSKU09910_2ES"/>
    <x v="2"/>
    <x v="1"/>
    <x v="0"/>
    <x v="7"/>
    <x v="1"/>
    <x v="7"/>
    <x v="411"/>
    <x v="0"/>
    <x v="9"/>
    <x v="0"/>
    <n v="94100"/>
  </r>
  <r>
    <s v="CSKU09911_2ES"/>
    <x v="2"/>
    <x v="1"/>
    <x v="1"/>
    <x v="4"/>
    <x v="4"/>
    <x v="7"/>
    <x v="411"/>
    <x v="1"/>
    <x v="9"/>
    <x v="0"/>
    <n v="77020"/>
  </r>
  <r>
    <s v="CSKU09912_2ES"/>
    <x v="2"/>
    <x v="1"/>
    <x v="1"/>
    <x v="4"/>
    <x v="1"/>
    <x v="7"/>
    <x v="411"/>
    <x v="1"/>
    <x v="9"/>
    <x v="0"/>
    <n v="91480"/>
  </r>
  <r>
    <s v="CSKU09913_2ES"/>
    <x v="2"/>
    <x v="1"/>
    <x v="1"/>
    <x v="0"/>
    <x v="4"/>
    <x v="7"/>
    <x v="411"/>
    <x v="1"/>
    <x v="9"/>
    <x v="0"/>
    <n v="80980"/>
  </r>
  <r>
    <s v="CSKU09914_2ES"/>
    <x v="2"/>
    <x v="1"/>
    <x v="1"/>
    <x v="0"/>
    <x v="1"/>
    <x v="7"/>
    <x v="411"/>
    <x v="1"/>
    <x v="9"/>
    <x v="0"/>
    <n v="95440"/>
  </r>
  <r>
    <s v="CSKU09915_2ES"/>
    <x v="2"/>
    <x v="1"/>
    <x v="1"/>
    <x v="7"/>
    <x v="4"/>
    <x v="7"/>
    <x v="411"/>
    <x v="1"/>
    <x v="9"/>
    <x v="0"/>
    <n v="84960"/>
  </r>
  <r>
    <s v="CSKU09941_2ES"/>
    <x v="2"/>
    <x v="1"/>
    <x v="0"/>
    <x v="4"/>
    <x v="4"/>
    <x v="7"/>
    <x v="514"/>
    <x v="0"/>
    <x v="9"/>
    <x v="0"/>
    <n v="73400"/>
  </r>
  <r>
    <s v="CSKU09942_2ES"/>
    <x v="2"/>
    <x v="1"/>
    <x v="0"/>
    <x v="0"/>
    <x v="4"/>
    <x v="7"/>
    <x v="514"/>
    <x v="0"/>
    <x v="9"/>
    <x v="0"/>
    <n v="76930"/>
  </r>
  <r>
    <s v="CSKU09943_2ES"/>
    <x v="2"/>
    <x v="1"/>
    <x v="0"/>
    <x v="7"/>
    <x v="4"/>
    <x v="7"/>
    <x v="514"/>
    <x v="0"/>
    <x v="9"/>
    <x v="0"/>
    <n v="80500"/>
  </r>
  <r>
    <s v="CSKU09944_2ES"/>
    <x v="2"/>
    <x v="1"/>
    <x v="0"/>
    <x v="4"/>
    <x v="1"/>
    <x v="7"/>
    <x v="514"/>
    <x v="0"/>
    <x v="9"/>
    <x v="0"/>
    <n v="87020"/>
  </r>
  <r>
    <s v="CSKU09945_2ES"/>
    <x v="2"/>
    <x v="1"/>
    <x v="0"/>
    <x v="0"/>
    <x v="1"/>
    <x v="7"/>
    <x v="514"/>
    <x v="0"/>
    <x v="9"/>
    <x v="0"/>
    <n v="90550"/>
  </r>
  <r>
    <s v="CSKU09946_2ES"/>
    <x v="2"/>
    <x v="1"/>
    <x v="0"/>
    <x v="7"/>
    <x v="1"/>
    <x v="7"/>
    <x v="514"/>
    <x v="0"/>
    <x v="9"/>
    <x v="0"/>
    <n v="94100"/>
  </r>
  <r>
    <s v="CSKU09947_2ES"/>
    <x v="2"/>
    <x v="1"/>
    <x v="1"/>
    <x v="4"/>
    <x v="4"/>
    <x v="7"/>
    <x v="514"/>
    <x v="1"/>
    <x v="9"/>
    <x v="0"/>
    <n v="77020"/>
  </r>
  <r>
    <s v="CSKU09979_2ES"/>
    <x v="2"/>
    <x v="1"/>
    <x v="0"/>
    <x v="7"/>
    <x v="4"/>
    <x v="7"/>
    <x v="416"/>
    <x v="0"/>
    <x v="9"/>
    <x v="0"/>
    <n v="76200"/>
  </r>
  <r>
    <s v="CSKU09980_2ES"/>
    <x v="2"/>
    <x v="1"/>
    <x v="0"/>
    <x v="4"/>
    <x v="1"/>
    <x v="7"/>
    <x v="416"/>
    <x v="0"/>
    <x v="9"/>
    <x v="0"/>
    <n v="81530"/>
  </r>
  <r>
    <s v="CSKU09981_2ES"/>
    <x v="2"/>
    <x v="1"/>
    <x v="0"/>
    <x v="0"/>
    <x v="1"/>
    <x v="7"/>
    <x v="416"/>
    <x v="0"/>
    <x v="9"/>
    <x v="0"/>
    <n v="85060"/>
  </r>
  <r>
    <s v="CSKU09982_2ES"/>
    <x v="2"/>
    <x v="1"/>
    <x v="0"/>
    <x v="7"/>
    <x v="1"/>
    <x v="7"/>
    <x v="416"/>
    <x v="0"/>
    <x v="9"/>
    <x v="0"/>
    <n v="88610"/>
  </r>
  <r>
    <s v="CSKU09983_2ES"/>
    <x v="2"/>
    <x v="1"/>
    <x v="1"/>
    <x v="4"/>
    <x v="4"/>
    <x v="7"/>
    <x v="416"/>
    <x v="1"/>
    <x v="9"/>
    <x v="0"/>
    <n v="72720"/>
  </r>
  <r>
    <s v="CSKU09984_2ES"/>
    <x v="2"/>
    <x v="1"/>
    <x v="1"/>
    <x v="4"/>
    <x v="1"/>
    <x v="7"/>
    <x v="416"/>
    <x v="1"/>
    <x v="9"/>
    <x v="0"/>
    <n v="85990"/>
  </r>
  <r>
    <s v="CSKU09985_2ES"/>
    <x v="2"/>
    <x v="1"/>
    <x v="1"/>
    <x v="0"/>
    <x v="4"/>
    <x v="7"/>
    <x v="416"/>
    <x v="1"/>
    <x v="9"/>
    <x v="0"/>
    <n v="76680"/>
  </r>
  <r>
    <s v="CSKU09986_2ES"/>
    <x v="2"/>
    <x v="1"/>
    <x v="1"/>
    <x v="0"/>
    <x v="1"/>
    <x v="7"/>
    <x v="416"/>
    <x v="1"/>
    <x v="9"/>
    <x v="0"/>
    <n v="89950"/>
  </r>
  <r>
    <s v="CSKU10060_2ES"/>
    <x v="2"/>
    <x v="1"/>
    <x v="1"/>
    <x v="7"/>
    <x v="1"/>
    <x v="7"/>
    <x v="403"/>
    <x v="1"/>
    <x v="9"/>
    <x v="0"/>
    <n v="77460"/>
  </r>
  <r>
    <s v="CSKU10301_2ES"/>
    <x v="2"/>
    <x v="1"/>
    <x v="0"/>
    <x v="4"/>
    <x v="4"/>
    <x v="7"/>
    <x v="134"/>
    <x v="0"/>
    <x v="9"/>
    <x v="0"/>
    <n v="73400"/>
  </r>
  <r>
    <s v="CSKU10302_2ES"/>
    <x v="2"/>
    <x v="1"/>
    <x v="0"/>
    <x v="0"/>
    <x v="4"/>
    <x v="7"/>
    <x v="134"/>
    <x v="0"/>
    <x v="9"/>
    <x v="0"/>
    <n v="76930"/>
  </r>
  <r>
    <s v="CSKU10303_2ES"/>
    <x v="2"/>
    <x v="1"/>
    <x v="0"/>
    <x v="7"/>
    <x v="4"/>
    <x v="7"/>
    <x v="134"/>
    <x v="0"/>
    <x v="9"/>
    <x v="0"/>
    <n v="80500"/>
  </r>
  <r>
    <s v="CSKU10304_2ES"/>
    <x v="2"/>
    <x v="1"/>
    <x v="0"/>
    <x v="4"/>
    <x v="1"/>
    <x v="7"/>
    <x v="134"/>
    <x v="0"/>
    <x v="9"/>
    <x v="0"/>
    <n v="87020"/>
  </r>
  <r>
    <s v="CSKU09916_2ES"/>
    <x v="2"/>
    <x v="1"/>
    <x v="1"/>
    <x v="7"/>
    <x v="1"/>
    <x v="7"/>
    <x v="411"/>
    <x v="1"/>
    <x v="9"/>
    <x v="0"/>
    <n v="99420"/>
  </r>
  <r>
    <s v="CSKU09948_2ES"/>
    <x v="2"/>
    <x v="1"/>
    <x v="1"/>
    <x v="4"/>
    <x v="1"/>
    <x v="7"/>
    <x v="514"/>
    <x v="1"/>
    <x v="9"/>
    <x v="0"/>
    <n v="91480"/>
  </r>
  <r>
    <s v="CSKU09949_2ES"/>
    <x v="2"/>
    <x v="1"/>
    <x v="1"/>
    <x v="0"/>
    <x v="4"/>
    <x v="7"/>
    <x v="514"/>
    <x v="1"/>
    <x v="9"/>
    <x v="0"/>
    <n v="80980"/>
  </r>
  <r>
    <s v="CSKU09950_2ES"/>
    <x v="2"/>
    <x v="1"/>
    <x v="1"/>
    <x v="0"/>
    <x v="1"/>
    <x v="7"/>
    <x v="514"/>
    <x v="1"/>
    <x v="9"/>
    <x v="0"/>
    <n v="95440"/>
  </r>
  <r>
    <s v="CSKU09951_2ES"/>
    <x v="2"/>
    <x v="1"/>
    <x v="1"/>
    <x v="7"/>
    <x v="4"/>
    <x v="7"/>
    <x v="514"/>
    <x v="1"/>
    <x v="9"/>
    <x v="0"/>
    <n v="84960"/>
  </r>
  <r>
    <s v="CSKU09952_2ES"/>
    <x v="2"/>
    <x v="1"/>
    <x v="1"/>
    <x v="7"/>
    <x v="1"/>
    <x v="7"/>
    <x v="514"/>
    <x v="1"/>
    <x v="9"/>
    <x v="0"/>
    <n v="99420"/>
  </r>
  <r>
    <s v="CSKU09987_2ES"/>
    <x v="2"/>
    <x v="1"/>
    <x v="1"/>
    <x v="7"/>
    <x v="4"/>
    <x v="7"/>
    <x v="416"/>
    <x v="1"/>
    <x v="9"/>
    <x v="0"/>
    <n v="80660"/>
  </r>
  <r>
    <s v="CSKU09988_2ES"/>
    <x v="2"/>
    <x v="1"/>
    <x v="1"/>
    <x v="7"/>
    <x v="1"/>
    <x v="7"/>
    <x v="416"/>
    <x v="1"/>
    <x v="9"/>
    <x v="0"/>
    <n v="93930"/>
  </r>
  <r>
    <s v="CSKU09798_2ES"/>
    <x v="2"/>
    <x v="1"/>
    <x v="0"/>
    <x v="0"/>
    <x v="4"/>
    <x v="7"/>
    <x v="443"/>
    <x v="0"/>
    <x v="9"/>
    <x v="0"/>
    <n v="72630"/>
  </r>
  <r>
    <s v="CSKU09799_2ES"/>
    <x v="2"/>
    <x v="1"/>
    <x v="0"/>
    <x v="7"/>
    <x v="4"/>
    <x v="7"/>
    <x v="443"/>
    <x v="0"/>
    <x v="9"/>
    <x v="0"/>
    <n v="76200"/>
  </r>
  <r>
    <s v="CSKU09800_2ES"/>
    <x v="2"/>
    <x v="1"/>
    <x v="0"/>
    <x v="4"/>
    <x v="1"/>
    <x v="7"/>
    <x v="443"/>
    <x v="0"/>
    <x v="9"/>
    <x v="0"/>
    <n v="81530"/>
  </r>
  <r>
    <s v="CSKU09801_2ES"/>
    <x v="2"/>
    <x v="1"/>
    <x v="0"/>
    <x v="0"/>
    <x v="1"/>
    <x v="7"/>
    <x v="443"/>
    <x v="0"/>
    <x v="9"/>
    <x v="0"/>
    <n v="85060"/>
  </r>
  <r>
    <s v="CSKU09802_2ES"/>
    <x v="2"/>
    <x v="1"/>
    <x v="0"/>
    <x v="7"/>
    <x v="1"/>
    <x v="7"/>
    <x v="443"/>
    <x v="0"/>
    <x v="9"/>
    <x v="0"/>
    <n v="88610"/>
  </r>
  <r>
    <s v="CSKU09803_2ES"/>
    <x v="2"/>
    <x v="1"/>
    <x v="1"/>
    <x v="4"/>
    <x v="4"/>
    <x v="7"/>
    <x v="443"/>
    <x v="1"/>
    <x v="9"/>
    <x v="0"/>
    <n v="72720"/>
  </r>
  <r>
    <s v="CSKU09804_2ES"/>
    <x v="2"/>
    <x v="1"/>
    <x v="1"/>
    <x v="4"/>
    <x v="1"/>
    <x v="7"/>
    <x v="443"/>
    <x v="1"/>
    <x v="9"/>
    <x v="0"/>
    <n v="85990"/>
  </r>
  <r>
    <s v="CSKU09805_2ES"/>
    <x v="2"/>
    <x v="1"/>
    <x v="1"/>
    <x v="0"/>
    <x v="4"/>
    <x v="7"/>
    <x v="443"/>
    <x v="1"/>
    <x v="9"/>
    <x v="0"/>
    <n v="76680"/>
  </r>
  <r>
    <s v="CSKU09840_2ES"/>
    <x v="2"/>
    <x v="1"/>
    <x v="1"/>
    <x v="4"/>
    <x v="1"/>
    <x v="7"/>
    <x v="413"/>
    <x v="1"/>
    <x v="9"/>
    <x v="0"/>
    <n v="84680"/>
  </r>
  <r>
    <s v="CSKU09841_2ES"/>
    <x v="2"/>
    <x v="1"/>
    <x v="1"/>
    <x v="0"/>
    <x v="4"/>
    <x v="7"/>
    <x v="413"/>
    <x v="1"/>
    <x v="9"/>
    <x v="0"/>
    <n v="75510"/>
  </r>
  <r>
    <s v="CSKU09842_2ES"/>
    <x v="2"/>
    <x v="1"/>
    <x v="1"/>
    <x v="0"/>
    <x v="1"/>
    <x v="7"/>
    <x v="413"/>
    <x v="1"/>
    <x v="9"/>
    <x v="0"/>
    <n v="88640"/>
  </r>
  <r>
    <s v="CSKU09843_2ES"/>
    <x v="2"/>
    <x v="1"/>
    <x v="1"/>
    <x v="7"/>
    <x v="4"/>
    <x v="7"/>
    <x v="413"/>
    <x v="1"/>
    <x v="9"/>
    <x v="0"/>
    <n v="79490"/>
  </r>
  <r>
    <s v="CSKU09844_2ES"/>
    <x v="2"/>
    <x v="1"/>
    <x v="1"/>
    <x v="7"/>
    <x v="1"/>
    <x v="7"/>
    <x v="413"/>
    <x v="1"/>
    <x v="9"/>
    <x v="0"/>
    <n v="92620"/>
  </r>
  <r>
    <s v="CSKU09873_2ES"/>
    <x v="2"/>
    <x v="1"/>
    <x v="0"/>
    <x v="0"/>
    <x v="1"/>
    <x v="7"/>
    <x v="414"/>
    <x v="0"/>
    <x v="9"/>
    <x v="0"/>
    <n v="80790"/>
  </r>
  <r>
    <s v="CSKU09874_2ES"/>
    <x v="2"/>
    <x v="1"/>
    <x v="0"/>
    <x v="7"/>
    <x v="1"/>
    <x v="7"/>
    <x v="414"/>
    <x v="0"/>
    <x v="9"/>
    <x v="0"/>
    <n v="84340"/>
  </r>
  <r>
    <s v="CSKU09875_2ES"/>
    <x v="2"/>
    <x v="1"/>
    <x v="1"/>
    <x v="4"/>
    <x v="4"/>
    <x v="7"/>
    <x v="414"/>
    <x v="1"/>
    <x v="9"/>
    <x v="0"/>
    <n v="69210"/>
  </r>
  <r>
    <s v="CSKU09876_2ES"/>
    <x v="2"/>
    <x v="1"/>
    <x v="1"/>
    <x v="0"/>
    <x v="4"/>
    <x v="7"/>
    <x v="414"/>
    <x v="1"/>
    <x v="9"/>
    <x v="0"/>
    <n v="73170"/>
  </r>
  <r>
    <s v="CSKU09877_2ES"/>
    <x v="2"/>
    <x v="1"/>
    <x v="1"/>
    <x v="7"/>
    <x v="4"/>
    <x v="7"/>
    <x v="414"/>
    <x v="1"/>
    <x v="9"/>
    <x v="0"/>
    <n v="77150"/>
  </r>
  <r>
    <s v="CSKU09878_2ES"/>
    <x v="2"/>
    <x v="1"/>
    <x v="1"/>
    <x v="4"/>
    <x v="1"/>
    <x v="7"/>
    <x v="414"/>
    <x v="1"/>
    <x v="9"/>
    <x v="0"/>
    <n v="82040"/>
  </r>
  <r>
    <s v="CSKU09879_2ES"/>
    <x v="2"/>
    <x v="1"/>
    <x v="1"/>
    <x v="0"/>
    <x v="1"/>
    <x v="7"/>
    <x v="414"/>
    <x v="1"/>
    <x v="9"/>
    <x v="0"/>
    <n v="86000"/>
  </r>
  <r>
    <s v="CSKU09880_2ES"/>
    <x v="2"/>
    <x v="1"/>
    <x v="1"/>
    <x v="7"/>
    <x v="1"/>
    <x v="7"/>
    <x v="414"/>
    <x v="1"/>
    <x v="9"/>
    <x v="0"/>
    <n v="89980"/>
  </r>
  <r>
    <s v="CSKU09733_2ES"/>
    <x v="2"/>
    <x v="1"/>
    <x v="1"/>
    <x v="0"/>
    <x v="4"/>
    <x v="7"/>
    <x v="515"/>
    <x v="1"/>
    <x v="9"/>
    <x v="0"/>
    <n v="76680"/>
  </r>
  <r>
    <s v="CSKU09734_2ES"/>
    <x v="2"/>
    <x v="1"/>
    <x v="1"/>
    <x v="0"/>
    <x v="1"/>
    <x v="7"/>
    <x v="515"/>
    <x v="1"/>
    <x v="9"/>
    <x v="0"/>
    <n v="89950"/>
  </r>
  <r>
    <s v="CSKU09735_2ES"/>
    <x v="2"/>
    <x v="1"/>
    <x v="1"/>
    <x v="7"/>
    <x v="4"/>
    <x v="7"/>
    <x v="515"/>
    <x v="1"/>
    <x v="9"/>
    <x v="0"/>
    <n v="80660"/>
  </r>
  <r>
    <s v="CSKU09736_2ES"/>
    <x v="2"/>
    <x v="1"/>
    <x v="1"/>
    <x v="7"/>
    <x v="1"/>
    <x v="7"/>
    <x v="515"/>
    <x v="1"/>
    <x v="9"/>
    <x v="0"/>
    <n v="93930"/>
  </r>
  <r>
    <s v="CSKU09806_2ES"/>
    <x v="2"/>
    <x v="1"/>
    <x v="1"/>
    <x v="0"/>
    <x v="1"/>
    <x v="7"/>
    <x v="443"/>
    <x v="1"/>
    <x v="9"/>
    <x v="0"/>
    <n v="89950"/>
  </r>
  <r>
    <s v="CSKU09761_2ES"/>
    <x v="2"/>
    <x v="1"/>
    <x v="0"/>
    <x v="4"/>
    <x v="4"/>
    <x v="7"/>
    <x v="516"/>
    <x v="0"/>
    <x v="9"/>
    <x v="0"/>
    <n v="73400"/>
  </r>
  <r>
    <s v="CSKU09762_2ES"/>
    <x v="2"/>
    <x v="1"/>
    <x v="0"/>
    <x v="0"/>
    <x v="4"/>
    <x v="7"/>
    <x v="516"/>
    <x v="0"/>
    <x v="9"/>
    <x v="0"/>
    <n v="76930"/>
  </r>
  <r>
    <s v="CSKU09763_2ES"/>
    <x v="2"/>
    <x v="1"/>
    <x v="0"/>
    <x v="7"/>
    <x v="4"/>
    <x v="7"/>
    <x v="516"/>
    <x v="0"/>
    <x v="9"/>
    <x v="0"/>
    <n v="80500"/>
  </r>
  <r>
    <s v="CSKU09764_2ES"/>
    <x v="2"/>
    <x v="1"/>
    <x v="0"/>
    <x v="4"/>
    <x v="1"/>
    <x v="7"/>
    <x v="516"/>
    <x v="0"/>
    <x v="9"/>
    <x v="0"/>
    <n v="87020"/>
  </r>
  <r>
    <s v="CSKU09765_2ES"/>
    <x v="2"/>
    <x v="1"/>
    <x v="0"/>
    <x v="0"/>
    <x v="1"/>
    <x v="7"/>
    <x v="516"/>
    <x v="0"/>
    <x v="9"/>
    <x v="0"/>
    <n v="90550"/>
  </r>
  <r>
    <s v="CSKU09807_2ES"/>
    <x v="2"/>
    <x v="1"/>
    <x v="1"/>
    <x v="7"/>
    <x v="4"/>
    <x v="7"/>
    <x v="443"/>
    <x v="1"/>
    <x v="9"/>
    <x v="0"/>
    <n v="80660"/>
  </r>
  <r>
    <s v="CSKU09808_2ES"/>
    <x v="2"/>
    <x v="1"/>
    <x v="1"/>
    <x v="7"/>
    <x v="1"/>
    <x v="7"/>
    <x v="443"/>
    <x v="1"/>
    <x v="9"/>
    <x v="0"/>
    <n v="93930"/>
  </r>
  <r>
    <s v="CSKU09621_2ES"/>
    <x v="2"/>
    <x v="1"/>
    <x v="0"/>
    <x v="0"/>
    <x v="1"/>
    <x v="7"/>
    <x v="412"/>
    <x v="0"/>
    <x v="9"/>
    <x v="0"/>
    <n v="83750"/>
  </r>
  <r>
    <s v="CSKU09622_2ES"/>
    <x v="2"/>
    <x v="1"/>
    <x v="0"/>
    <x v="7"/>
    <x v="1"/>
    <x v="7"/>
    <x v="412"/>
    <x v="0"/>
    <x v="9"/>
    <x v="0"/>
    <n v="87300"/>
  </r>
  <r>
    <s v="CSKU09623_2ES"/>
    <x v="2"/>
    <x v="1"/>
    <x v="1"/>
    <x v="4"/>
    <x v="4"/>
    <x v="7"/>
    <x v="412"/>
    <x v="1"/>
    <x v="9"/>
    <x v="0"/>
    <n v="71550"/>
  </r>
  <r>
    <s v="CSKU09624_2ES"/>
    <x v="2"/>
    <x v="1"/>
    <x v="1"/>
    <x v="4"/>
    <x v="1"/>
    <x v="7"/>
    <x v="412"/>
    <x v="1"/>
    <x v="9"/>
    <x v="0"/>
    <n v="84680"/>
  </r>
  <r>
    <s v="CSKU09625_2ES"/>
    <x v="2"/>
    <x v="1"/>
    <x v="1"/>
    <x v="0"/>
    <x v="4"/>
    <x v="7"/>
    <x v="412"/>
    <x v="1"/>
    <x v="9"/>
    <x v="0"/>
    <n v="75510"/>
  </r>
  <r>
    <s v="CSKU09626_2ES"/>
    <x v="2"/>
    <x v="1"/>
    <x v="1"/>
    <x v="0"/>
    <x v="1"/>
    <x v="7"/>
    <x v="412"/>
    <x v="1"/>
    <x v="9"/>
    <x v="0"/>
    <n v="88640"/>
  </r>
  <r>
    <s v="CSKU09627_2ES"/>
    <x v="2"/>
    <x v="1"/>
    <x v="1"/>
    <x v="7"/>
    <x v="4"/>
    <x v="7"/>
    <x v="412"/>
    <x v="1"/>
    <x v="9"/>
    <x v="0"/>
    <n v="79490"/>
  </r>
  <r>
    <s v="CSKU09628_2ES"/>
    <x v="2"/>
    <x v="1"/>
    <x v="1"/>
    <x v="7"/>
    <x v="1"/>
    <x v="7"/>
    <x v="412"/>
    <x v="1"/>
    <x v="9"/>
    <x v="0"/>
    <n v="92620"/>
  </r>
  <r>
    <s v="CSKU09663_2ES"/>
    <x v="2"/>
    <x v="1"/>
    <x v="1"/>
    <x v="0"/>
    <x v="1"/>
    <x v="7"/>
    <x v="131"/>
    <x v="1"/>
    <x v="9"/>
    <x v="0"/>
    <n v="86000"/>
  </r>
  <r>
    <s v="CSKU09664_2ES"/>
    <x v="2"/>
    <x v="1"/>
    <x v="1"/>
    <x v="7"/>
    <x v="1"/>
    <x v="7"/>
    <x v="131"/>
    <x v="1"/>
    <x v="9"/>
    <x v="0"/>
    <n v="89980"/>
  </r>
  <r>
    <s v="CSKU09766_2ES"/>
    <x v="2"/>
    <x v="1"/>
    <x v="0"/>
    <x v="7"/>
    <x v="1"/>
    <x v="7"/>
    <x v="516"/>
    <x v="0"/>
    <x v="9"/>
    <x v="0"/>
    <n v="94100"/>
  </r>
  <r>
    <s v="CSKU09767_2ES"/>
    <x v="2"/>
    <x v="1"/>
    <x v="1"/>
    <x v="4"/>
    <x v="4"/>
    <x v="7"/>
    <x v="516"/>
    <x v="1"/>
    <x v="9"/>
    <x v="0"/>
    <n v="77020"/>
  </r>
  <r>
    <s v="CSKU09768_2ES"/>
    <x v="2"/>
    <x v="1"/>
    <x v="1"/>
    <x v="4"/>
    <x v="1"/>
    <x v="7"/>
    <x v="516"/>
    <x v="1"/>
    <x v="9"/>
    <x v="0"/>
    <n v="91480"/>
  </r>
  <r>
    <s v="CSKU09769_2ES"/>
    <x v="2"/>
    <x v="1"/>
    <x v="1"/>
    <x v="0"/>
    <x v="4"/>
    <x v="7"/>
    <x v="516"/>
    <x v="1"/>
    <x v="9"/>
    <x v="0"/>
    <n v="80980"/>
  </r>
  <r>
    <s v="CSKU09770_2ES"/>
    <x v="2"/>
    <x v="1"/>
    <x v="1"/>
    <x v="0"/>
    <x v="1"/>
    <x v="7"/>
    <x v="516"/>
    <x v="1"/>
    <x v="9"/>
    <x v="0"/>
    <n v="95440"/>
  </r>
  <r>
    <s v="CSKU09771_2ES"/>
    <x v="2"/>
    <x v="1"/>
    <x v="1"/>
    <x v="7"/>
    <x v="4"/>
    <x v="7"/>
    <x v="516"/>
    <x v="1"/>
    <x v="9"/>
    <x v="0"/>
    <n v="84960"/>
  </r>
  <r>
    <s v="CSKU09772_2ES"/>
    <x v="2"/>
    <x v="1"/>
    <x v="1"/>
    <x v="7"/>
    <x v="1"/>
    <x v="7"/>
    <x v="516"/>
    <x v="1"/>
    <x v="9"/>
    <x v="0"/>
    <n v="99420"/>
  </r>
  <r>
    <s v="CSKU09691_2ES"/>
    <x v="2"/>
    <x v="1"/>
    <x v="0"/>
    <x v="7"/>
    <x v="4"/>
    <x v="7"/>
    <x v="132"/>
    <x v="0"/>
    <x v="9"/>
    <x v="0"/>
    <n v="80500"/>
  </r>
  <r>
    <s v="CSKU09692_2ES"/>
    <x v="2"/>
    <x v="1"/>
    <x v="0"/>
    <x v="4"/>
    <x v="1"/>
    <x v="7"/>
    <x v="132"/>
    <x v="0"/>
    <x v="9"/>
    <x v="0"/>
    <n v="87020"/>
  </r>
  <r>
    <s v="CSKU09693_2ES"/>
    <x v="2"/>
    <x v="1"/>
    <x v="0"/>
    <x v="0"/>
    <x v="1"/>
    <x v="7"/>
    <x v="132"/>
    <x v="0"/>
    <x v="9"/>
    <x v="0"/>
    <n v="90550"/>
  </r>
  <r>
    <s v="CSKU09694_2ES"/>
    <x v="2"/>
    <x v="1"/>
    <x v="0"/>
    <x v="7"/>
    <x v="1"/>
    <x v="7"/>
    <x v="132"/>
    <x v="0"/>
    <x v="9"/>
    <x v="0"/>
    <n v="94100"/>
  </r>
  <r>
    <s v="CSKU09695_2ES"/>
    <x v="2"/>
    <x v="1"/>
    <x v="1"/>
    <x v="4"/>
    <x v="4"/>
    <x v="7"/>
    <x v="132"/>
    <x v="1"/>
    <x v="9"/>
    <x v="0"/>
    <n v="77020"/>
  </r>
  <r>
    <s v="CSKU09696_2ES"/>
    <x v="2"/>
    <x v="1"/>
    <x v="1"/>
    <x v="4"/>
    <x v="1"/>
    <x v="7"/>
    <x v="132"/>
    <x v="1"/>
    <x v="9"/>
    <x v="0"/>
    <n v="91480"/>
  </r>
  <r>
    <s v="CSKU09725_2ES"/>
    <x v="2"/>
    <x v="1"/>
    <x v="0"/>
    <x v="4"/>
    <x v="4"/>
    <x v="7"/>
    <x v="515"/>
    <x v="0"/>
    <x v="9"/>
    <x v="0"/>
    <n v="69100"/>
  </r>
  <r>
    <s v="CSKU09726_2ES"/>
    <x v="2"/>
    <x v="1"/>
    <x v="0"/>
    <x v="0"/>
    <x v="4"/>
    <x v="7"/>
    <x v="515"/>
    <x v="0"/>
    <x v="9"/>
    <x v="0"/>
    <n v="72630"/>
  </r>
  <r>
    <s v="CSKU09727_2ES"/>
    <x v="2"/>
    <x v="1"/>
    <x v="0"/>
    <x v="7"/>
    <x v="4"/>
    <x v="7"/>
    <x v="515"/>
    <x v="0"/>
    <x v="9"/>
    <x v="0"/>
    <n v="76200"/>
  </r>
  <r>
    <s v="CSKU09728_2ES"/>
    <x v="2"/>
    <x v="1"/>
    <x v="0"/>
    <x v="4"/>
    <x v="1"/>
    <x v="7"/>
    <x v="515"/>
    <x v="0"/>
    <x v="9"/>
    <x v="0"/>
    <n v="81530"/>
  </r>
  <r>
    <s v="CSKU09729_2ES"/>
    <x v="2"/>
    <x v="1"/>
    <x v="0"/>
    <x v="0"/>
    <x v="1"/>
    <x v="7"/>
    <x v="515"/>
    <x v="0"/>
    <x v="9"/>
    <x v="0"/>
    <n v="85060"/>
  </r>
  <r>
    <s v="CSKU09730_2ES"/>
    <x v="2"/>
    <x v="1"/>
    <x v="0"/>
    <x v="7"/>
    <x v="1"/>
    <x v="7"/>
    <x v="515"/>
    <x v="0"/>
    <x v="9"/>
    <x v="0"/>
    <n v="88610"/>
  </r>
  <r>
    <s v="CSKU09731_2ES"/>
    <x v="2"/>
    <x v="1"/>
    <x v="1"/>
    <x v="4"/>
    <x v="4"/>
    <x v="7"/>
    <x v="515"/>
    <x v="1"/>
    <x v="9"/>
    <x v="0"/>
    <n v="72720"/>
  </r>
  <r>
    <s v="CSKU09732_2ES"/>
    <x v="2"/>
    <x v="1"/>
    <x v="1"/>
    <x v="4"/>
    <x v="1"/>
    <x v="7"/>
    <x v="515"/>
    <x v="1"/>
    <x v="9"/>
    <x v="0"/>
    <n v="85990"/>
  </r>
  <r>
    <s v="CSKU09518_2ES"/>
    <x v="2"/>
    <x v="1"/>
    <x v="1"/>
    <x v="0"/>
    <x v="1"/>
    <x v="7"/>
    <x v="517"/>
    <x v="1"/>
    <x v="9"/>
    <x v="0"/>
    <n v="95440"/>
  </r>
  <r>
    <s v="CSKU09519_2ES"/>
    <x v="2"/>
    <x v="1"/>
    <x v="1"/>
    <x v="7"/>
    <x v="4"/>
    <x v="7"/>
    <x v="517"/>
    <x v="1"/>
    <x v="9"/>
    <x v="0"/>
    <n v="84960"/>
  </r>
  <r>
    <s v="CSKU09520_2ES"/>
    <x v="2"/>
    <x v="1"/>
    <x v="1"/>
    <x v="7"/>
    <x v="1"/>
    <x v="7"/>
    <x v="517"/>
    <x v="1"/>
    <x v="9"/>
    <x v="0"/>
    <n v="99420"/>
  </r>
  <r>
    <s v="CSKU09186_2ES"/>
    <x v="2"/>
    <x v="1"/>
    <x v="0"/>
    <x v="0"/>
    <x v="4"/>
    <x v="7"/>
    <x v="442"/>
    <x v="0"/>
    <x v="9"/>
    <x v="0"/>
    <n v="56220"/>
  </r>
  <r>
    <s v="CSKU09187_2ES"/>
    <x v="2"/>
    <x v="1"/>
    <x v="0"/>
    <x v="7"/>
    <x v="4"/>
    <x v="7"/>
    <x v="442"/>
    <x v="0"/>
    <x v="9"/>
    <x v="0"/>
    <n v="59790"/>
  </r>
  <r>
    <s v="CSKU09188_2ES"/>
    <x v="2"/>
    <x v="1"/>
    <x v="0"/>
    <x v="4"/>
    <x v="1"/>
    <x v="7"/>
    <x v="442"/>
    <x v="0"/>
    <x v="9"/>
    <x v="0"/>
    <n v="61130"/>
  </r>
  <r>
    <s v="CSKU09189_2ES"/>
    <x v="2"/>
    <x v="1"/>
    <x v="0"/>
    <x v="0"/>
    <x v="1"/>
    <x v="7"/>
    <x v="442"/>
    <x v="0"/>
    <x v="9"/>
    <x v="0"/>
    <n v="64660"/>
  </r>
  <r>
    <s v="CSKU09190_2ES"/>
    <x v="2"/>
    <x v="1"/>
    <x v="0"/>
    <x v="7"/>
    <x v="1"/>
    <x v="7"/>
    <x v="442"/>
    <x v="0"/>
    <x v="9"/>
    <x v="0"/>
    <n v="68210"/>
  </r>
  <r>
    <s v="CSKU09191_2ES"/>
    <x v="2"/>
    <x v="1"/>
    <x v="1"/>
    <x v="4"/>
    <x v="4"/>
    <x v="7"/>
    <x v="442"/>
    <x v="1"/>
    <x v="9"/>
    <x v="0"/>
    <n v="56310"/>
  </r>
  <r>
    <s v="CSKU09192_2ES"/>
    <x v="2"/>
    <x v="1"/>
    <x v="1"/>
    <x v="4"/>
    <x v="1"/>
    <x v="7"/>
    <x v="442"/>
    <x v="1"/>
    <x v="9"/>
    <x v="0"/>
    <n v="65590"/>
  </r>
  <r>
    <s v="CSKU09193_2ES"/>
    <x v="2"/>
    <x v="1"/>
    <x v="1"/>
    <x v="0"/>
    <x v="4"/>
    <x v="7"/>
    <x v="442"/>
    <x v="1"/>
    <x v="9"/>
    <x v="0"/>
    <n v="60270"/>
  </r>
  <r>
    <s v="CSKU09194_2ES"/>
    <x v="2"/>
    <x v="1"/>
    <x v="1"/>
    <x v="0"/>
    <x v="1"/>
    <x v="7"/>
    <x v="442"/>
    <x v="1"/>
    <x v="9"/>
    <x v="0"/>
    <n v="69550"/>
  </r>
  <r>
    <s v="CSKU09437_2ES"/>
    <x v="2"/>
    <x v="1"/>
    <x v="0"/>
    <x v="4"/>
    <x v="4"/>
    <x v="7"/>
    <x v="518"/>
    <x v="0"/>
    <x v="9"/>
    <x v="0"/>
    <n v="49010"/>
  </r>
  <r>
    <s v="CSKU09438_2ES"/>
    <x v="2"/>
    <x v="1"/>
    <x v="0"/>
    <x v="0"/>
    <x v="4"/>
    <x v="7"/>
    <x v="518"/>
    <x v="0"/>
    <x v="9"/>
    <x v="0"/>
    <n v="52540"/>
  </r>
  <r>
    <s v="CSKU09439_2ES"/>
    <x v="2"/>
    <x v="1"/>
    <x v="0"/>
    <x v="7"/>
    <x v="4"/>
    <x v="7"/>
    <x v="518"/>
    <x v="0"/>
    <x v="9"/>
    <x v="0"/>
    <n v="56110"/>
  </r>
  <r>
    <s v="CSKU09440_2ES"/>
    <x v="2"/>
    <x v="1"/>
    <x v="0"/>
    <x v="4"/>
    <x v="1"/>
    <x v="7"/>
    <x v="518"/>
    <x v="0"/>
    <x v="9"/>
    <x v="0"/>
    <n v="57740"/>
  </r>
  <r>
    <s v="CSKU09441_2ES"/>
    <x v="2"/>
    <x v="1"/>
    <x v="0"/>
    <x v="0"/>
    <x v="1"/>
    <x v="7"/>
    <x v="518"/>
    <x v="0"/>
    <x v="9"/>
    <x v="0"/>
    <n v="61270"/>
  </r>
  <r>
    <s v="CSKU09442_2ES"/>
    <x v="2"/>
    <x v="1"/>
    <x v="0"/>
    <x v="7"/>
    <x v="1"/>
    <x v="7"/>
    <x v="518"/>
    <x v="0"/>
    <x v="9"/>
    <x v="0"/>
    <n v="64820"/>
  </r>
  <r>
    <s v="CSKU09443_2ES"/>
    <x v="2"/>
    <x v="1"/>
    <x v="1"/>
    <x v="4"/>
    <x v="4"/>
    <x v="7"/>
    <x v="518"/>
    <x v="1"/>
    <x v="9"/>
    <x v="0"/>
    <n v="53590"/>
  </r>
  <r>
    <s v="CSKU09444_2ES"/>
    <x v="2"/>
    <x v="1"/>
    <x v="1"/>
    <x v="0"/>
    <x v="4"/>
    <x v="7"/>
    <x v="518"/>
    <x v="1"/>
    <x v="9"/>
    <x v="0"/>
    <n v="57550"/>
  </r>
  <r>
    <s v="CSKU09445_2ES"/>
    <x v="2"/>
    <x v="1"/>
    <x v="1"/>
    <x v="7"/>
    <x v="4"/>
    <x v="7"/>
    <x v="518"/>
    <x v="1"/>
    <x v="9"/>
    <x v="0"/>
    <n v="61530"/>
  </r>
  <r>
    <s v="CSKU09545_2ES"/>
    <x v="2"/>
    <x v="1"/>
    <x v="0"/>
    <x v="4"/>
    <x v="4"/>
    <x v="7"/>
    <x v="519"/>
    <x v="0"/>
    <x v="9"/>
    <x v="0"/>
    <n v="73400"/>
  </r>
  <r>
    <s v="CSKU09546_2ES"/>
    <x v="2"/>
    <x v="1"/>
    <x v="0"/>
    <x v="0"/>
    <x v="4"/>
    <x v="7"/>
    <x v="519"/>
    <x v="0"/>
    <x v="9"/>
    <x v="0"/>
    <n v="76930"/>
  </r>
  <r>
    <s v="CSKU09581_2ES"/>
    <x v="2"/>
    <x v="1"/>
    <x v="0"/>
    <x v="4"/>
    <x v="4"/>
    <x v="7"/>
    <x v="520"/>
    <x v="0"/>
    <x v="9"/>
    <x v="0"/>
    <n v="69100"/>
  </r>
  <r>
    <s v="CSKU09582_2ES"/>
    <x v="2"/>
    <x v="1"/>
    <x v="0"/>
    <x v="0"/>
    <x v="4"/>
    <x v="7"/>
    <x v="520"/>
    <x v="0"/>
    <x v="9"/>
    <x v="0"/>
    <n v="72630"/>
  </r>
  <r>
    <s v="CSKU09583_2ES"/>
    <x v="2"/>
    <x v="1"/>
    <x v="0"/>
    <x v="7"/>
    <x v="4"/>
    <x v="7"/>
    <x v="520"/>
    <x v="0"/>
    <x v="9"/>
    <x v="0"/>
    <n v="76200"/>
  </r>
  <r>
    <s v="CSKU09584_2ES"/>
    <x v="2"/>
    <x v="1"/>
    <x v="0"/>
    <x v="4"/>
    <x v="1"/>
    <x v="7"/>
    <x v="520"/>
    <x v="0"/>
    <x v="9"/>
    <x v="0"/>
    <n v="81530"/>
  </r>
  <r>
    <s v="CSKU09585_2ES"/>
    <x v="2"/>
    <x v="1"/>
    <x v="0"/>
    <x v="0"/>
    <x v="1"/>
    <x v="7"/>
    <x v="520"/>
    <x v="0"/>
    <x v="9"/>
    <x v="0"/>
    <n v="85060"/>
  </r>
  <r>
    <s v="CSKU09586_2ES"/>
    <x v="2"/>
    <x v="1"/>
    <x v="0"/>
    <x v="7"/>
    <x v="1"/>
    <x v="7"/>
    <x v="520"/>
    <x v="0"/>
    <x v="9"/>
    <x v="0"/>
    <n v="88610"/>
  </r>
  <r>
    <s v="CSKU09587_2ES"/>
    <x v="2"/>
    <x v="1"/>
    <x v="1"/>
    <x v="4"/>
    <x v="4"/>
    <x v="7"/>
    <x v="520"/>
    <x v="1"/>
    <x v="9"/>
    <x v="0"/>
    <n v="72720"/>
  </r>
  <r>
    <s v="CSKU09588_2ES"/>
    <x v="2"/>
    <x v="1"/>
    <x v="1"/>
    <x v="4"/>
    <x v="1"/>
    <x v="7"/>
    <x v="520"/>
    <x v="1"/>
    <x v="9"/>
    <x v="0"/>
    <n v="85990"/>
  </r>
  <r>
    <s v="CSKU09589_2ES"/>
    <x v="2"/>
    <x v="1"/>
    <x v="1"/>
    <x v="0"/>
    <x v="4"/>
    <x v="7"/>
    <x v="520"/>
    <x v="1"/>
    <x v="9"/>
    <x v="0"/>
    <n v="76680"/>
  </r>
  <r>
    <s v="CSKU09590_2ES"/>
    <x v="2"/>
    <x v="1"/>
    <x v="1"/>
    <x v="0"/>
    <x v="1"/>
    <x v="7"/>
    <x v="520"/>
    <x v="1"/>
    <x v="9"/>
    <x v="0"/>
    <n v="89950"/>
  </r>
  <r>
    <s v="CSKU09591_2ES"/>
    <x v="2"/>
    <x v="1"/>
    <x v="1"/>
    <x v="7"/>
    <x v="4"/>
    <x v="7"/>
    <x v="520"/>
    <x v="1"/>
    <x v="9"/>
    <x v="0"/>
    <n v="80660"/>
  </r>
  <r>
    <s v="CSKU09592_2ES"/>
    <x v="2"/>
    <x v="1"/>
    <x v="1"/>
    <x v="7"/>
    <x v="1"/>
    <x v="7"/>
    <x v="520"/>
    <x v="1"/>
    <x v="9"/>
    <x v="0"/>
    <n v="93930"/>
  </r>
  <r>
    <s v="CSKU09689_2ES"/>
    <x v="2"/>
    <x v="1"/>
    <x v="0"/>
    <x v="4"/>
    <x v="4"/>
    <x v="7"/>
    <x v="132"/>
    <x v="0"/>
    <x v="9"/>
    <x v="0"/>
    <n v="73400"/>
  </r>
  <r>
    <s v="CSKU09690_2ES"/>
    <x v="2"/>
    <x v="1"/>
    <x v="0"/>
    <x v="0"/>
    <x v="4"/>
    <x v="7"/>
    <x v="132"/>
    <x v="0"/>
    <x v="9"/>
    <x v="0"/>
    <n v="76930"/>
  </r>
  <r>
    <s v="CSKU08286_2ES"/>
    <x v="2"/>
    <x v="1"/>
    <x v="0"/>
    <x v="0"/>
    <x v="4"/>
    <x v="7"/>
    <x v="440"/>
    <x v="0"/>
    <x v="9"/>
    <x v="0"/>
    <n v="68330"/>
  </r>
  <r>
    <s v="CSKU08287_2ES"/>
    <x v="2"/>
    <x v="1"/>
    <x v="0"/>
    <x v="7"/>
    <x v="4"/>
    <x v="7"/>
    <x v="440"/>
    <x v="0"/>
    <x v="9"/>
    <x v="0"/>
    <n v="71900"/>
  </r>
  <r>
    <s v="CSKU08288_2ES"/>
    <x v="2"/>
    <x v="1"/>
    <x v="0"/>
    <x v="4"/>
    <x v="1"/>
    <x v="7"/>
    <x v="440"/>
    <x v="0"/>
    <x v="9"/>
    <x v="0"/>
    <n v="76040"/>
  </r>
  <r>
    <s v="CSKU08289_2ES"/>
    <x v="2"/>
    <x v="1"/>
    <x v="0"/>
    <x v="0"/>
    <x v="1"/>
    <x v="7"/>
    <x v="440"/>
    <x v="0"/>
    <x v="9"/>
    <x v="0"/>
    <n v="79570"/>
  </r>
  <r>
    <s v="CSKU08290_2ES"/>
    <x v="2"/>
    <x v="1"/>
    <x v="0"/>
    <x v="7"/>
    <x v="1"/>
    <x v="7"/>
    <x v="440"/>
    <x v="0"/>
    <x v="9"/>
    <x v="0"/>
    <n v="83120"/>
  </r>
  <r>
    <s v="CSKU08291_2ES"/>
    <x v="2"/>
    <x v="1"/>
    <x v="1"/>
    <x v="4"/>
    <x v="4"/>
    <x v="7"/>
    <x v="440"/>
    <x v="1"/>
    <x v="9"/>
    <x v="0"/>
    <n v="68420"/>
  </r>
  <r>
    <s v="CSKU08292_2ES"/>
    <x v="2"/>
    <x v="1"/>
    <x v="1"/>
    <x v="4"/>
    <x v="1"/>
    <x v="7"/>
    <x v="440"/>
    <x v="1"/>
    <x v="9"/>
    <x v="0"/>
    <n v="80500"/>
  </r>
  <r>
    <s v="CSKU08293_2ES"/>
    <x v="2"/>
    <x v="1"/>
    <x v="1"/>
    <x v="0"/>
    <x v="4"/>
    <x v="7"/>
    <x v="440"/>
    <x v="1"/>
    <x v="9"/>
    <x v="0"/>
    <n v="72380"/>
  </r>
  <r>
    <s v="CSKU08294_2ES"/>
    <x v="2"/>
    <x v="1"/>
    <x v="1"/>
    <x v="0"/>
    <x v="1"/>
    <x v="7"/>
    <x v="440"/>
    <x v="1"/>
    <x v="9"/>
    <x v="0"/>
    <n v="84460"/>
  </r>
  <r>
    <s v="CSKU08295_2ES"/>
    <x v="2"/>
    <x v="1"/>
    <x v="1"/>
    <x v="7"/>
    <x v="4"/>
    <x v="7"/>
    <x v="440"/>
    <x v="1"/>
    <x v="9"/>
    <x v="0"/>
    <n v="76360"/>
  </r>
  <r>
    <s v="CSKU08296_2ES"/>
    <x v="2"/>
    <x v="1"/>
    <x v="1"/>
    <x v="7"/>
    <x v="1"/>
    <x v="7"/>
    <x v="440"/>
    <x v="1"/>
    <x v="9"/>
    <x v="0"/>
    <n v="88440"/>
  </r>
  <r>
    <s v="CSKU08469_2ES"/>
    <x v="2"/>
    <x v="1"/>
    <x v="0"/>
    <x v="0"/>
    <x v="1"/>
    <x v="7"/>
    <x v="421"/>
    <x v="0"/>
    <x v="9"/>
    <x v="0"/>
    <n v="90550"/>
  </r>
  <r>
    <s v="CSKU08470_2ES"/>
    <x v="2"/>
    <x v="1"/>
    <x v="0"/>
    <x v="7"/>
    <x v="1"/>
    <x v="7"/>
    <x v="421"/>
    <x v="0"/>
    <x v="9"/>
    <x v="0"/>
    <n v="94100"/>
  </r>
  <r>
    <s v="CSKU08471_2ES"/>
    <x v="2"/>
    <x v="1"/>
    <x v="1"/>
    <x v="4"/>
    <x v="4"/>
    <x v="7"/>
    <x v="421"/>
    <x v="1"/>
    <x v="9"/>
    <x v="0"/>
    <n v="77020"/>
  </r>
  <r>
    <s v="CSKU08472_2ES"/>
    <x v="2"/>
    <x v="1"/>
    <x v="1"/>
    <x v="4"/>
    <x v="1"/>
    <x v="7"/>
    <x v="421"/>
    <x v="1"/>
    <x v="9"/>
    <x v="0"/>
    <n v="91480"/>
  </r>
  <r>
    <s v="CSKU08473_2ES"/>
    <x v="2"/>
    <x v="1"/>
    <x v="1"/>
    <x v="0"/>
    <x v="4"/>
    <x v="7"/>
    <x v="421"/>
    <x v="1"/>
    <x v="9"/>
    <x v="0"/>
    <n v="80980"/>
  </r>
  <r>
    <s v="CSKU08474_2ES"/>
    <x v="2"/>
    <x v="1"/>
    <x v="1"/>
    <x v="0"/>
    <x v="1"/>
    <x v="7"/>
    <x v="421"/>
    <x v="1"/>
    <x v="9"/>
    <x v="0"/>
    <n v="95440"/>
  </r>
  <r>
    <s v="CSKU08475_2ES"/>
    <x v="2"/>
    <x v="1"/>
    <x v="1"/>
    <x v="7"/>
    <x v="4"/>
    <x v="7"/>
    <x v="421"/>
    <x v="1"/>
    <x v="9"/>
    <x v="0"/>
    <n v="84960"/>
  </r>
  <r>
    <s v="CSKU08476_2ES"/>
    <x v="2"/>
    <x v="1"/>
    <x v="1"/>
    <x v="7"/>
    <x v="1"/>
    <x v="7"/>
    <x v="421"/>
    <x v="1"/>
    <x v="9"/>
    <x v="0"/>
    <n v="99420"/>
  </r>
  <r>
    <s v="CSKU08537_2ES"/>
    <x v="2"/>
    <x v="1"/>
    <x v="0"/>
    <x v="4"/>
    <x v="4"/>
    <x v="7"/>
    <x v="521"/>
    <x v="0"/>
    <x v="9"/>
    <x v="0"/>
    <n v="55030"/>
  </r>
  <r>
    <s v="CSKU08538_2ES"/>
    <x v="2"/>
    <x v="1"/>
    <x v="0"/>
    <x v="0"/>
    <x v="4"/>
    <x v="7"/>
    <x v="521"/>
    <x v="0"/>
    <x v="9"/>
    <x v="0"/>
    <n v="58560"/>
  </r>
  <r>
    <s v="CSKU08539_2ES"/>
    <x v="2"/>
    <x v="1"/>
    <x v="0"/>
    <x v="7"/>
    <x v="4"/>
    <x v="7"/>
    <x v="521"/>
    <x v="0"/>
    <x v="9"/>
    <x v="0"/>
    <n v="62130"/>
  </r>
  <r>
    <s v="CSKU08540_2ES"/>
    <x v="2"/>
    <x v="1"/>
    <x v="0"/>
    <x v="4"/>
    <x v="1"/>
    <x v="7"/>
    <x v="521"/>
    <x v="0"/>
    <x v="9"/>
    <x v="0"/>
    <n v="63750"/>
  </r>
  <r>
    <s v="CSKU08541_2ES"/>
    <x v="2"/>
    <x v="1"/>
    <x v="0"/>
    <x v="0"/>
    <x v="1"/>
    <x v="7"/>
    <x v="521"/>
    <x v="0"/>
    <x v="9"/>
    <x v="0"/>
    <n v="67280"/>
  </r>
  <r>
    <s v="CSKU08542_2ES"/>
    <x v="2"/>
    <x v="1"/>
    <x v="0"/>
    <x v="7"/>
    <x v="1"/>
    <x v="7"/>
    <x v="521"/>
    <x v="0"/>
    <x v="9"/>
    <x v="0"/>
    <n v="70830"/>
  </r>
  <r>
    <s v="CSKU08543_2ES"/>
    <x v="2"/>
    <x v="1"/>
    <x v="1"/>
    <x v="4"/>
    <x v="4"/>
    <x v="7"/>
    <x v="521"/>
    <x v="1"/>
    <x v="9"/>
    <x v="0"/>
    <n v="58650"/>
  </r>
  <r>
    <s v="CSKU08544_2ES"/>
    <x v="2"/>
    <x v="1"/>
    <x v="1"/>
    <x v="4"/>
    <x v="1"/>
    <x v="7"/>
    <x v="521"/>
    <x v="1"/>
    <x v="9"/>
    <x v="0"/>
    <n v="68210"/>
  </r>
  <r>
    <s v="CSKU08790_2ES"/>
    <x v="2"/>
    <x v="1"/>
    <x v="0"/>
    <x v="0"/>
    <x v="4"/>
    <x v="7"/>
    <x v="441"/>
    <x v="0"/>
    <x v="9"/>
    <x v="0"/>
    <n v="71460"/>
  </r>
  <r>
    <s v="CSKU08791_2ES"/>
    <x v="2"/>
    <x v="1"/>
    <x v="0"/>
    <x v="7"/>
    <x v="4"/>
    <x v="7"/>
    <x v="441"/>
    <x v="0"/>
    <x v="9"/>
    <x v="0"/>
    <n v="75030"/>
  </r>
  <r>
    <s v="CSKU08792_2ES"/>
    <x v="2"/>
    <x v="1"/>
    <x v="0"/>
    <x v="4"/>
    <x v="1"/>
    <x v="7"/>
    <x v="441"/>
    <x v="0"/>
    <x v="9"/>
    <x v="0"/>
    <n v="80220"/>
  </r>
  <r>
    <s v="CSKU08793_2ES"/>
    <x v="2"/>
    <x v="1"/>
    <x v="0"/>
    <x v="0"/>
    <x v="1"/>
    <x v="7"/>
    <x v="441"/>
    <x v="0"/>
    <x v="9"/>
    <x v="0"/>
    <n v="83750"/>
  </r>
  <r>
    <s v="CSKU08794_2ES"/>
    <x v="2"/>
    <x v="1"/>
    <x v="0"/>
    <x v="7"/>
    <x v="1"/>
    <x v="7"/>
    <x v="441"/>
    <x v="0"/>
    <x v="9"/>
    <x v="0"/>
    <n v="87300"/>
  </r>
  <r>
    <s v="CSKU08795_2ES"/>
    <x v="2"/>
    <x v="1"/>
    <x v="1"/>
    <x v="4"/>
    <x v="4"/>
    <x v="7"/>
    <x v="441"/>
    <x v="1"/>
    <x v="9"/>
    <x v="0"/>
    <n v="71550"/>
  </r>
  <r>
    <s v="CSKU08796_2ES"/>
    <x v="2"/>
    <x v="1"/>
    <x v="1"/>
    <x v="4"/>
    <x v="1"/>
    <x v="7"/>
    <x v="441"/>
    <x v="1"/>
    <x v="9"/>
    <x v="0"/>
    <n v="84680"/>
  </r>
  <r>
    <s v="CSKU08797_2ES"/>
    <x v="2"/>
    <x v="1"/>
    <x v="1"/>
    <x v="0"/>
    <x v="4"/>
    <x v="7"/>
    <x v="441"/>
    <x v="1"/>
    <x v="9"/>
    <x v="0"/>
    <n v="75510"/>
  </r>
  <r>
    <s v="CSKU08861_2ES"/>
    <x v="2"/>
    <x v="1"/>
    <x v="0"/>
    <x v="4"/>
    <x v="4"/>
    <x v="7"/>
    <x v="522"/>
    <x v="0"/>
    <x v="9"/>
    <x v="0"/>
    <n v="73400"/>
  </r>
  <r>
    <s v="CSKU08862_2ES"/>
    <x v="2"/>
    <x v="1"/>
    <x v="0"/>
    <x v="0"/>
    <x v="4"/>
    <x v="7"/>
    <x v="522"/>
    <x v="0"/>
    <x v="9"/>
    <x v="0"/>
    <n v="76930"/>
  </r>
  <r>
    <s v="CSKU08969_2ES"/>
    <x v="2"/>
    <x v="1"/>
    <x v="0"/>
    <x v="4"/>
    <x v="4"/>
    <x v="7"/>
    <x v="523"/>
    <x v="0"/>
    <x v="9"/>
    <x v="0"/>
    <n v="69100"/>
  </r>
  <r>
    <s v="CSKU08970_2ES"/>
    <x v="2"/>
    <x v="1"/>
    <x v="0"/>
    <x v="0"/>
    <x v="4"/>
    <x v="7"/>
    <x v="523"/>
    <x v="0"/>
    <x v="9"/>
    <x v="0"/>
    <n v="72630"/>
  </r>
  <r>
    <s v="CSKU09010_2ES"/>
    <x v="2"/>
    <x v="1"/>
    <x v="0"/>
    <x v="7"/>
    <x v="1"/>
    <x v="7"/>
    <x v="415"/>
    <x v="0"/>
    <x v="9"/>
    <x v="0"/>
    <n v="73700"/>
  </r>
  <r>
    <s v="CSKU09011_2ES"/>
    <x v="2"/>
    <x v="1"/>
    <x v="1"/>
    <x v="4"/>
    <x v="4"/>
    <x v="7"/>
    <x v="415"/>
    <x v="1"/>
    <x v="9"/>
    <x v="0"/>
    <n v="60610"/>
  </r>
  <r>
    <s v="CSKU09012_2ES"/>
    <x v="2"/>
    <x v="1"/>
    <x v="1"/>
    <x v="4"/>
    <x v="1"/>
    <x v="7"/>
    <x v="415"/>
    <x v="1"/>
    <x v="9"/>
    <x v="0"/>
    <n v="71080"/>
  </r>
  <r>
    <s v="CSKU09013_2ES"/>
    <x v="2"/>
    <x v="1"/>
    <x v="1"/>
    <x v="0"/>
    <x v="4"/>
    <x v="7"/>
    <x v="415"/>
    <x v="1"/>
    <x v="9"/>
    <x v="0"/>
    <n v="64570"/>
  </r>
  <r>
    <s v="CSKU09014_2ES"/>
    <x v="2"/>
    <x v="1"/>
    <x v="1"/>
    <x v="0"/>
    <x v="1"/>
    <x v="7"/>
    <x v="415"/>
    <x v="1"/>
    <x v="9"/>
    <x v="0"/>
    <n v="75040"/>
  </r>
  <r>
    <s v="CSKU09015_2ES"/>
    <x v="2"/>
    <x v="1"/>
    <x v="1"/>
    <x v="7"/>
    <x v="4"/>
    <x v="7"/>
    <x v="415"/>
    <x v="1"/>
    <x v="9"/>
    <x v="0"/>
    <n v="68550"/>
  </r>
  <r>
    <s v="CSKU09016_2ES"/>
    <x v="2"/>
    <x v="1"/>
    <x v="1"/>
    <x v="7"/>
    <x v="1"/>
    <x v="7"/>
    <x v="415"/>
    <x v="1"/>
    <x v="9"/>
    <x v="0"/>
    <n v="79020"/>
  </r>
  <r>
    <s v="CSKU09121_2ES"/>
    <x v="2"/>
    <x v="1"/>
    <x v="1"/>
    <x v="0"/>
    <x v="4"/>
    <x v="7"/>
    <x v="418"/>
    <x v="1"/>
    <x v="9"/>
    <x v="0"/>
    <n v="64570"/>
  </r>
  <r>
    <s v="CSKU09122_2ES"/>
    <x v="2"/>
    <x v="1"/>
    <x v="1"/>
    <x v="0"/>
    <x v="1"/>
    <x v="7"/>
    <x v="418"/>
    <x v="1"/>
    <x v="9"/>
    <x v="0"/>
    <n v="75040"/>
  </r>
  <r>
    <s v="CSKU09123_2ES"/>
    <x v="2"/>
    <x v="1"/>
    <x v="1"/>
    <x v="7"/>
    <x v="4"/>
    <x v="7"/>
    <x v="418"/>
    <x v="1"/>
    <x v="9"/>
    <x v="0"/>
    <n v="68550"/>
  </r>
  <r>
    <s v="CSKU09124_2ES"/>
    <x v="2"/>
    <x v="1"/>
    <x v="1"/>
    <x v="7"/>
    <x v="1"/>
    <x v="7"/>
    <x v="418"/>
    <x v="1"/>
    <x v="9"/>
    <x v="0"/>
    <n v="79020"/>
  </r>
  <r>
    <s v="CSKU07107_2ES"/>
    <x v="2"/>
    <x v="1"/>
    <x v="1"/>
    <x v="7"/>
    <x v="4"/>
    <x v="7"/>
    <x v="119"/>
    <x v="1"/>
    <x v="9"/>
    <x v="0"/>
    <n v="84960"/>
  </r>
  <r>
    <s v="CSKU07108_2ES"/>
    <x v="2"/>
    <x v="1"/>
    <x v="1"/>
    <x v="7"/>
    <x v="1"/>
    <x v="7"/>
    <x v="119"/>
    <x v="1"/>
    <x v="9"/>
    <x v="0"/>
    <n v="99420"/>
  </r>
  <r>
    <s v="CSKU07174_2ES"/>
    <x v="2"/>
    <x v="1"/>
    <x v="0"/>
    <x v="7"/>
    <x v="1"/>
    <x v="7"/>
    <x v="426"/>
    <x v="0"/>
    <x v="9"/>
    <x v="0"/>
    <n v="83120"/>
  </r>
  <r>
    <s v="CSKU07175_2ES"/>
    <x v="2"/>
    <x v="1"/>
    <x v="1"/>
    <x v="4"/>
    <x v="4"/>
    <x v="7"/>
    <x v="426"/>
    <x v="1"/>
    <x v="9"/>
    <x v="0"/>
    <n v="68420"/>
  </r>
  <r>
    <s v="CSKU07176_2ES"/>
    <x v="2"/>
    <x v="1"/>
    <x v="1"/>
    <x v="4"/>
    <x v="1"/>
    <x v="7"/>
    <x v="426"/>
    <x v="1"/>
    <x v="9"/>
    <x v="0"/>
    <n v="80500"/>
  </r>
  <r>
    <s v="CSKU07177_2ES"/>
    <x v="2"/>
    <x v="1"/>
    <x v="1"/>
    <x v="0"/>
    <x v="4"/>
    <x v="7"/>
    <x v="426"/>
    <x v="1"/>
    <x v="9"/>
    <x v="0"/>
    <n v="72380"/>
  </r>
  <r>
    <s v="CSKU07178_2ES"/>
    <x v="2"/>
    <x v="1"/>
    <x v="1"/>
    <x v="0"/>
    <x v="1"/>
    <x v="7"/>
    <x v="426"/>
    <x v="1"/>
    <x v="9"/>
    <x v="0"/>
    <n v="84460"/>
  </r>
  <r>
    <s v="CSKU07179_2ES"/>
    <x v="2"/>
    <x v="1"/>
    <x v="1"/>
    <x v="7"/>
    <x v="4"/>
    <x v="7"/>
    <x v="426"/>
    <x v="1"/>
    <x v="9"/>
    <x v="0"/>
    <n v="76360"/>
  </r>
  <r>
    <s v="CSKU07180_2ES"/>
    <x v="2"/>
    <x v="1"/>
    <x v="1"/>
    <x v="7"/>
    <x v="1"/>
    <x v="7"/>
    <x v="426"/>
    <x v="1"/>
    <x v="9"/>
    <x v="0"/>
    <n v="88440"/>
  </r>
  <r>
    <s v="CSKU07242_2ES"/>
    <x v="2"/>
    <x v="1"/>
    <x v="0"/>
    <x v="0"/>
    <x v="4"/>
    <x v="7"/>
    <x v="439"/>
    <x v="0"/>
    <x v="9"/>
    <x v="0"/>
    <n v="68330"/>
  </r>
  <r>
    <s v="CSKU07243_2ES"/>
    <x v="2"/>
    <x v="1"/>
    <x v="0"/>
    <x v="7"/>
    <x v="4"/>
    <x v="7"/>
    <x v="439"/>
    <x v="0"/>
    <x v="9"/>
    <x v="0"/>
    <n v="71900"/>
  </r>
  <r>
    <s v="CSKU07244_2ES"/>
    <x v="2"/>
    <x v="1"/>
    <x v="0"/>
    <x v="4"/>
    <x v="1"/>
    <x v="7"/>
    <x v="439"/>
    <x v="0"/>
    <x v="9"/>
    <x v="0"/>
    <n v="76040"/>
  </r>
  <r>
    <s v="CSKU07245_2ES"/>
    <x v="2"/>
    <x v="1"/>
    <x v="0"/>
    <x v="0"/>
    <x v="1"/>
    <x v="7"/>
    <x v="439"/>
    <x v="0"/>
    <x v="9"/>
    <x v="0"/>
    <n v="79570"/>
  </r>
  <r>
    <s v="CSKU07246_2ES"/>
    <x v="2"/>
    <x v="1"/>
    <x v="0"/>
    <x v="7"/>
    <x v="1"/>
    <x v="7"/>
    <x v="439"/>
    <x v="0"/>
    <x v="9"/>
    <x v="0"/>
    <n v="83120"/>
  </r>
  <r>
    <s v="CSKU07247_2ES"/>
    <x v="2"/>
    <x v="1"/>
    <x v="1"/>
    <x v="4"/>
    <x v="4"/>
    <x v="7"/>
    <x v="439"/>
    <x v="1"/>
    <x v="9"/>
    <x v="0"/>
    <n v="68420"/>
  </r>
  <r>
    <s v="CSKU07248_2ES"/>
    <x v="2"/>
    <x v="1"/>
    <x v="1"/>
    <x v="4"/>
    <x v="1"/>
    <x v="7"/>
    <x v="439"/>
    <x v="1"/>
    <x v="9"/>
    <x v="0"/>
    <n v="80500"/>
  </r>
  <r>
    <s v="CSKU07249_2ES"/>
    <x v="2"/>
    <x v="1"/>
    <x v="1"/>
    <x v="0"/>
    <x v="4"/>
    <x v="7"/>
    <x v="439"/>
    <x v="1"/>
    <x v="9"/>
    <x v="0"/>
    <n v="72380"/>
  </r>
  <r>
    <s v="CSKU07250_2ES"/>
    <x v="2"/>
    <x v="1"/>
    <x v="1"/>
    <x v="0"/>
    <x v="1"/>
    <x v="7"/>
    <x v="439"/>
    <x v="1"/>
    <x v="9"/>
    <x v="0"/>
    <n v="84460"/>
  </r>
  <r>
    <s v="CSKU07251_2ES"/>
    <x v="2"/>
    <x v="1"/>
    <x v="1"/>
    <x v="7"/>
    <x v="4"/>
    <x v="7"/>
    <x v="439"/>
    <x v="1"/>
    <x v="9"/>
    <x v="0"/>
    <n v="76360"/>
  </r>
  <r>
    <s v="CSKU07252_2ES"/>
    <x v="2"/>
    <x v="1"/>
    <x v="1"/>
    <x v="7"/>
    <x v="1"/>
    <x v="7"/>
    <x v="439"/>
    <x v="1"/>
    <x v="9"/>
    <x v="0"/>
    <n v="88440"/>
  </r>
  <r>
    <s v="CSKU07323_2ES"/>
    <x v="2"/>
    <x v="1"/>
    <x v="1"/>
    <x v="7"/>
    <x v="4"/>
    <x v="7"/>
    <x v="433"/>
    <x v="1"/>
    <x v="9"/>
    <x v="0"/>
    <n v="76360"/>
  </r>
  <r>
    <s v="CSKU07324_2ES"/>
    <x v="2"/>
    <x v="1"/>
    <x v="1"/>
    <x v="7"/>
    <x v="1"/>
    <x v="7"/>
    <x v="433"/>
    <x v="1"/>
    <x v="9"/>
    <x v="0"/>
    <n v="88440"/>
  </r>
  <r>
    <s v="CSKU07421_2ES"/>
    <x v="2"/>
    <x v="1"/>
    <x v="0"/>
    <x v="4"/>
    <x v="4"/>
    <x v="7"/>
    <x v="524"/>
    <x v="0"/>
    <x v="9"/>
    <x v="0"/>
    <n v="73400"/>
  </r>
  <r>
    <s v="CSKU07493_2ES"/>
    <x v="2"/>
    <x v="1"/>
    <x v="0"/>
    <x v="4"/>
    <x v="4"/>
    <x v="7"/>
    <x v="525"/>
    <x v="0"/>
    <x v="9"/>
    <x v="0"/>
    <n v="62460"/>
  </r>
  <r>
    <s v="CSKU07494_2ES"/>
    <x v="2"/>
    <x v="1"/>
    <x v="0"/>
    <x v="0"/>
    <x v="4"/>
    <x v="7"/>
    <x v="525"/>
    <x v="0"/>
    <x v="9"/>
    <x v="0"/>
    <n v="65990"/>
  </r>
  <r>
    <s v="CSKU07495_2ES"/>
    <x v="2"/>
    <x v="1"/>
    <x v="0"/>
    <x v="7"/>
    <x v="4"/>
    <x v="7"/>
    <x v="525"/>
    <x v="0"/>
    <x v="9"/>
    <x v="0"/>
    <n v="69560"/>
  </r>
  <r>
    <s v="CSKU07496_2ES"/>
    <x v="2"/>
    <x v="1"/>
    <x v="0"/>
    <x v="4"/>
    <x v="1"/>
    <x v="7"/>
    <x v="525"/>
    <x v="0"/>
    <x v="9"/>
    <x v="0"/>
    <n v="73420"/>
  </r>
  <r>
    <s v="CSKU07497_2ES"/>
    <x v="2"/>
    <x v="1"/>
    <x v="0"/>
    <x v="0"/>
    <x v="1"/>
    <x v="7"/>
    <x v="525"/>
    <x v="0"/>
    <x v="9"/>
    <x v="0"/>
    <n v="76950"/>
  </r>
  <r>
    <s v="CSKU07498_2ES"/>
    <x v="2"/>
    <x v="1"/>
    <x v="0"/>
    <x v="7"/>
    <x v="1"/>
    <x v="7"/>
    <x v="525"/>
    <x v="0"/>
    <x v="9"/>
    <x v="0"/>
    <n v="80500"/>
  </r>
  <r>
    <s v="CSKU07499_2ES"/>
    <x v="2"/>
    <x v="1"/>
    <x v="1"/>
    <x v="4"/>
    <x v="4"/>
    <x v="7"/>
    <x v="525"/>
    <x v="1"/>
    <x v="9"/>
    <x v="0"/>
    <n v="66080"/>
  </r>
  <r>
    <s v="CSKU07500_2ES"/>
    <x v="2"/>
    <x v="1"/>
    <x v="1"/>
    <x v="4"/>
    <x v="1"/>
    <x v="7"/>
    <x v="525"/>
    <x v="1"/>
    <x v="9"/>
    <x v="0"/>
    <n v="77880"/>
  </r>
  <r>
    <s v="CSKU09365_2ES"/>
    <x v="2"/>
    <x v="1"/>
    <x v="0"/>
    <x v="4"/>
    <x v="4"/>
    <x v="7"/>
    <x v="129"/>
    <x v="0"/>
    <x v="9"/>
    <x v="0"/>
    <n v="44710"/>
  </r>
  <r>
    <s v="CSKU09366_2ES"/>
    <x v="2"/>
    <x v="1"/>
    <x v="0"/>
    <x v="0"/>
    <x v="4"/>
    <x v="7"/>
    <x v="129"/>
    <x v="0"/>
    <x v="9"/>
    <x v="0"/>
    <n v="48240"/>
  </r>
  <r>
    <s v="CSKU09367_2ES"/>
    <x v="2"/>
    <x v="1"/>
    <x v="0"/>
    <x v="7"/>
    <x v="4"/>
    <x v="7"/>
    <x v="129"/>
    <x v="0"/>
    <x v="9"/>
    <x v="0"/>
    <n v="51810"/>
  </r>
  <r>
    <s v="CSKU09368_2ES"/>
    <x v="2"/>
    <x v="1"/>
    <x v="0"/>
    <x v="4"/>
    <x v="1"/>
    <x v="7"/>
    <x v="129"/>
    <x v="0"/>
    <x v="9"/>
    <x v="0"/>
    <n v="52250"/>
  </r>
  <r>
    <s v="CSKU07781_2ES"/>
    <x v="2"/>
    <x v="1"/>
    <x v="0"/>
    <x v="4"/>
    <x v="4"/>
    <x v="7"/>
    <x v="526"/>
    <x v="0"/>
    <x v="9"/>
    <x v="0"/>
    <n v="57140"/>
  </r>
  <r>
    <s v="CSKU07782_2ES"/>
    <x v="2"/>
    <x v="1"/>
    <x v="0"/>
    <x v="0"/>
    <x v="4"/>
    <x v="7"/>
    <x v="526"/>
    <x v="0"/>
    <x v="9"/>
    <x v="0"/>
    <n v="60670"/>
  </r>
  <r>
    <s v="CSKU07783_2ES"/>
    <x v="2"/>
    <x v="1"/>
    <x v="0"/>
    <x v="7"/>
    <x v="4"/>
    <x v="7"/>
    <x v="526"/>
    <x v="0"/>
    <x v="9"/>
    <x v="0"/>
    <n v="64240"/>
  </r>
  <r>
    <s v="CSKU07784_2ES"/>
    <x v="2"/>
    <x v="1"/>
    <x v="0"/>
    <x v="4"/>
    <x v="1"/>
    <x v="7"/>
    <x v="526"/>
    <x v="0"/>
    <x v="9"/>
    <x v="0"/>
    <n v="67500"/>
  </r>
  <r>
    <s v="CSKU07967_2ES"/>
    <x v="2"/>
    <x v="1"/>
    <x v="1"/>
    <x v="4"/>
    <x v="4"/>
    <x v="7"/>
    <x v="419"/>
    <x v="1"/>
    <x v="9"/>
    <x v="0"/>
    <n v="61400"/>
  </r>
  <r>
    <s v="CSKU07968_2ES"/>
    <x v="2"/>
    <x v="1"/>
    <x v="1"/>
    <x v="0"/>
    <x v="4"/>
    <x v="7"/>
    <x v="419"/>
    <x v="1"/>
    <x v="9"/>
    <x v="0"/>
    <n v="65360"/>
  </r>
  <r>
    <s v="CSKU07969_2ES"/>
    <x v="2"/>
    <x v="1"/>
    <x v="1"/>
    <x v="7"/>
    <x v="4"/>
    <x v="7"/>
    <x v="419"/>
    <x v="1"/>
    <x v="9"/>
    <x v="0"/>
    <n v="69340"/>
  </r>
  <r>
    <s v="CSKU07970_2ES"/>
    <x v="2"/>
    <x v="1"/>
    <x v="1"/>
    <x v="4"/>
    <x v="1"/>
    <x v="7"/>
    <x v="419"/>
    <x v="1"/>
    <x v="9"/>
    <x v="0"/>
    <n v="72600"/>
  </r>
  <r>
    <s v="CSKU07971_2ES"/>
    <x v="2"/>
    <x v="1"/>
    <x v="1"/>
    <x v="0"/>
    <x v="1"/>
    <x v="7"/>
    <x v="419"/>
    <x v="1"/>
    <x v="9"/>
    <x v="0"/>
    <n v="76560"/>
  </r>
  <r>
    <s v="CSKU07972_2ES"/>
    <x v="2"/>
    <x v="1"/>
    <x v="1"/>
    <x v="7"/>
    <x v="1"/>
    <x v="7"/>
    <x v="419"/>
    <x v="1"/>
    <x v="9"/>
    <x v="0"/>
    <n v="80540"/>
  </r>
  <r>
    <s v="CSKU08071_2ES"/>
    <x v="2"/>
    <x v="1"/>
    <x v="0"/>
    <x v="7"/>
    <x v="4"/>
    <x v="7"/>
    <x v="420"/>
    <x v="0"/>
    <x v="9"/>
    <x v="0"/>
    <n v="64240"/>
  </r>
  <r>
    <s v="CSKU08072_2ES"/>
    <x v="2"/>
    <x v="1"/>
    <x v="0"/>
    <x v="4"/>
    <x v="1"/>
    <x v="7"/>
    <x v="420"/>
    <x v="0"/>
    <x v="9"/>
    <x v="0"/>
    <n v="67500"/>
  </r>
  <r>
    <s v="CSKU08073_2ES"/>
    <x v="2"/>
    <x v="1"/>
    <x v="0"/>
    <x v="0"/>
    <x v="1"/>
    <x v="7"/>
    <x v="420"/>
    <x v="0"/>
    <x v="9"/>
    <x v="0"/>
    <n v="71030"/>
  </r>
  <r>
    <s v="CSKU08074_2ES"/>
    <x v="2"/>
    <x v="1"/>
    <x v="0"/>
    <x v="7"/>
    <x v="1"/>
    <x v="7"/>
    <x v="420"/>
    <x v="0"/>
    <x v="9"/>
    <x v="0"/>
    <n v="74580"/>
  </r>
  <r>
    <s v="CSKU08075_2ES"/>
    <x v="2"/>
    <x v="1"/>
    <x v="1"/>
    <x v="4"/>
    <x v="4"/>
    <x v="7"/>
    <x v="420"/>
    <x v="1"/>
    <x v="9"/>
    <x v="0"/>
    <n v="61400"/>
  </r>
  <r>
    <s v="CSKU08076_2ES"/>
    <x v="2"/>
    <x v="1"/>
    <x v="1"/>
    <x v="0"/>
    <x v="4"/>
    <x v="7"/>
    <x v="420"/>
    <x v="1"/>
    <x v="9"/>
    <x v="0"/>
    <n v="65360"/>
  </r>
  <r>
    <s v="CSKU08077_2ES"/>
    <x v="2"/>
    <x v="1"/>
    <x v="1"/>
    <x v="7"/>
    <x v="4"/>
    <x v="7"/>
    <x v="420"/>
    <x v="1"/>
    <x v="9"/>
    <x v="0"/>
    <n v="69340"/>
  </r>
  <r>
    <s v="CSKU08078_2ES"/>
    <x v="2"/>
    <x v="1"/>
    <x v="1"/>
    <x v="4"/>
    <x v="1"/>
    <x v="7"/>
    <x v="420"/>
    <x v="1"/>
    <x v="9"/>
    <x v="0"/>
    <n v="72600"/>
  </r>
  <r>
    <s v="CSKU08079_2ES"/>
    <x v="2"/>
    <x v="1"/>
    <x v="1"/>
    <x v="0"/>
    <x v="1"/>
    <x v="7"/>
    <x v="420"/>
    <x v="1"/>
    <x v="9"/>
    <x v="0"/>
    <n v="76560"/>
  </r>
  <r>
    <s v="CSKU08080_2ES"/>
    <x v="2"/>
    <x v="1"/>
    <x v="1"/>
    <x v="7"/>
    <x v="1"/>
    <x v="7"/>
    <x v="420"/>
    <x v="1"/>
    <x v="9"/>
    <x v="0"/>
    <n v="80540"/>
  </r>
  <r>
    <s v="CSKU06025_2ES"/>
    <x v="2"/>
    <x v="1"/>
    <x v="1"/>
    <x v="7"/>
    <x v="4"/>
    <x v="7"/>
    <x v="432"/>
    <x v="1"/>
    <x v="9"/>
    <x v="0"/>
    <n v="69340"/>
  </r>
  <r>
    <s v="CSKU06026_2ES"/>
    <x v="2"/>
    <x v="1"/>
    <x v="1"/>
    <x v="4"/>
    <x v="1"/>
    <x v="7"/>
    <x v="432"/>
    <x v="1"/>
    <x v="9"/>
    <x v="0"/>
    <n v="72600"/>
  </r>
  <r>
    <s v="CSKU06027_2ES"/>
    <x v="2"/>
    <x v="1"/>
    <x v="1"/>
    <x v="0"/>
    <x v="1"/>
    <x v="7"/>
    <x v="432"/>
    <x v="1"/>
    <x v="9"/>
    <x v="0"/>
    <n v="76560"/>
  </r>
  <r>
    <s v="CSKU06028_2ES"/>
    <x v="2"/>
    <x v="1"/>
    <x v="1"/>
    <x v="7"/>
    <x v="1"/>
    <x v="7"/>
    <x v="432"/>
    <x v="1"/>
    <x v="9"/>
    <x v="0"/>
    <n v="80540"/>
  </r>
  <r>
    <s v="CSKU06096_2ES"/>
    <x v="2"/>
    <x v="1"/>
    <x v="1"/>
    <x v="4"/>
    <x v="1"/>
    <x v="7"/>
    <x v="427"/>
    <x v="1"/>
    <x v="9"/>
    <x v="0"/>
    <n v="91480"/>
  </r>
  <r>
    <s v="CSKU06097_2ES"/>
    <x v="2"/>
    <x v="1"/>
    <x v="1"/>
    <x v="0"/>
    <x v="4"/>
    <x v="7"/>
    <x v="427"/>
    <x v="1"/>
    <x v="9"/>
    <x v="0"/>
    <n v="80980"/>
  </r>
  <r>
    <s v="CSKU06098_2ES"/>
    <x v="2"/>
    <x v="1"/>
    <x v="1"/>
    <x v="0"/>
    <x v="1"/>
    <x v="7"/>
    <x v="427"/>
    <x v="1"/>
    <x v="9"/>
    <x v="0"/>
    <n v="95440"/>
  </r>
  <r>
    <s v="CSKU06099_2ES"/>
    <x v="2"/>
    <x v="1"/>
    <x v="1"/>
    <x v="7"/>
    <x v="4"/>
    <x v="7"/>
    <x v="427"/>
    <x v="1"/>
    <x v="9"/>
    <x v="0"/>
    <n v="84960"/>
  </r>
  <r>
    <s v="CSKU06100_2ES"/>
    <x v="2"/>
    <x v="1"/>
    <x v="1"/>
    <x v="7"/>
    <x v="1"/>
    <x v="7"/>
    <x v="427"/>
    <x v="1"/>
    <x v="9"/>
    <x v="0"/>
    <n v="99420"/>
  </r>
  <r>
    <s v="CSKU06161_2ES"/>
    <x v="2"/>
    <x v="1"/>
    <x v="0"/>
    <x v="4"/>
    <x v="4"/>
    <x v="7"/>
    <x v="527"/>
    <x v="0"/>
    <x v="9"/>
    <x v="0"/>
    <n v="57140"/>
  </r>
  <r>
    <s v="CSKU06162_2ES"/>
    <x v="2"/>
    <x v="1"/>
    <x v="0"/>
    <x v="0"/>
    <x v="4"/>
    <x v="7"/>
    <x v="527"/>
    <x v="0"/>
    <x v="9"/>
    <x v="0"/>
    <n v="60670"/>
  </r>
  <r>
    <s v="CSKU06163_2ES"/>
    <x v="2"/>
    <x v="1"/>
    <x v="0"/>
    <x v="7"/>
    <x v="4"/>
    <x v="7"/>
    <x v="527"/>
    <x v="0"/>
    <x v="9"/>
    <x v="0"/>
    <n v="64240"/>
  </r>
  <r>
    <s v="CSKU06164_2ES"/>
    <x v="2"/>
    <x v="1"/>
    <x v="0"/>
    <x v="4"/>
    <x v="1"/>
    <x v="7"/>
    <x v="527"/>
    <x v="0"/>
    <x v="9"/>
    <x v="0"/>
    <n v="67500"/>
  </r>
  <r>
    <s v="CSKU06165_2ES"/>
    <x v="2"/>
    <x v="1"/>
    <x v="0"/>
    <x v="0"/>
    <x v="1"/>
    <x v="7"/>
    <x v="527"/>
    <x v="0"/>
    <x v="9"/>
    <x v="0"/>
    <n v="71030"/>
  </r>
  <r>
    <s v="CSKU06166_2ES"/>
    <x v="2"/>
    <x v="1"/>
    <x v="0"/>
    <x v="7"/>
    <x v="1"/>
    <x v="7"/>
    <x v="527"/>
    <x v="0"/>
    <x v="9"/>
    <x v="0"/>
    <n v="74580"/>
  </r>
  <r>
    <s v="CSKU06167_2ES"/>
    <x v="2"/>
    <x v="1"/>
    <x v="1"/>
    <x v="4"/>
    <x v="4"/>
    <x v="7"/>
    <x v="527"/>
    <x v="1"/>
    <x v="9"/>
    <x v="0"/>
    <n v="61400"/>
  </r>
  <r>
    <s v="CSKU06168_2ES"/>
    <x v="2"/>
    <x v="1"/>
    <x v="1"/>
    <x v="0"/>
    <x v="4"/>
    <x v="7"/>
    <x v="527"/>
    <x v="1"/>
    <x v="9"/>
    <x v="0"/>
    <n v="65360"/>
  </r>
  <r>
    <s v="CSKU06233_2ES"/>
    <x v="2"/>
    <x v="1"/>
    <x v="0"/>
    <x v="4"/>
    <x v="4"/>
    <x v="7"/>
    <x v="528"/>
    <x v="0"/>
    <x v="9"/>
    <x v="0"/>
    <n v="57140"/>
  </r>
  <r>
    <s v="CSKU06234_2ES"/>
    <x v="2"/>
    <x v="1"/>
    <x v="0"/>
    <x v="0"/>
    <x v="4"/>
    <x v="7"/>
    <x v="528"/>
    <x v="0"/>
    <x v="9"/>
    <x v="0"/>
    <n v="60670"/>
  </r>
  <r>
    <s v="CSKU06235_2ES"/>
    <x v="2"/>
    <x v="1"/>
    <x v="0"/>
    <x v="7"/>
    <x v="4"/>
    <x v="7"/>
    <x v="528"/>
    <x v="0"/>
    <x v="9"/>
    <x v="0"/>
    <n v="64240"/>
  </r>
  <r>
    <s v="CSKU06236_2ES"/>
    <x v="2"/>
    <x v="1"/>
    <x v="0"/>
    <x v="4"/>
    <x v="1"/>
    <x v="7"/>
    <x v="528"/>
    <x v="0"/>
    <x v="9"/>
    <x v="0"/>
    <n v="67500"/>
  </r>
  <r>
    <s v="CSKU06237_2ES"/>
    <x v="2"/>
    <x v="1"/>
    <x v="0"/>
    <x v="0"/>
    <x v="1"/>
    <x v="7"/>
    <x v="528"/>
    <x v="0"/>
    <x v="9"/>
    <x v="0"/>
    <n v="71030"/>
  </r>
  <r>
    <s v="CSKU06238_2ES"/>
    <x v="2"/>
    <x v="1"/>
    <x v="0"/>
    <x v="7"/>
    <x v="1"/>
    <x v="7"/>
    <x v="528"/>
    <x v="0"/>
    <x v="9"/>
    <x v="0"/>
    <n v="74580"/>
  </r>
  <r>
    <s v="CSKU06239_2ES"/>
    <x v="2"/>
    <x v="1"/>
    <x v="1"/>
    <x v="4"/>
    <x v="4"/>
    <x v="7"/>
    <x v="528"/>
    <x v="1"/>
    <x v="9"/>
    <x v="0"/>
    <n v="61400"/>
  </r>
  <r>
    <s v="CSKU06305_2ES"/>
    <x v="2"/>
    <x v="1"/>
    <x v="0"/>
    <x v="4"/>
    <x v="4"/>
    <x v="7"/>
    <x v="529"/>
    <x v="0"/>
    <x v="9"/>
    <x v="0"/>
    <n v="57140"/>
  </r>
  <r>
    <s v="CSKU06306_2ES"/>
    <x v="2"/>
    <x v="1"/>
    <x v="0"/>
    <x v="0"/>
    <x v="4"/>
    <x v="7"/>
    <x v="529"/>
    <x v="0"/>
    <x v="9"/>
    <x v="0"/>
    <n v="60670"/>
  </r>
  <r>
    <s v="CSKU06307_2ES"/>
    <x v="2"/>
    <x v="1"/>
    <x v="0"/>
    <x v="7"/>
    <x v="4"/>
    <x v="7"/>
    <x v="529"/>
    <x v="0"/>
    <x v="9"/>
    <x v="0"/>
    <n v="64240"/>
  </r>
  <r>
    <s v="CSKU06377_2ES"/>
    <x v="2"/>
    <x v="1"/>
    <x v="0"/>
    <x v="4"/>
    <x v="4"/>
    <x v="7"/>
    <x v="530"/>
    <x v="0"/>
    <x v="9"/>
    <x v="0"/>
    <n v="57140"/>
  </r>
  <r>
    <s v="CSKU08177_2ES"/>
    <x v="2"/>
    <x v="1"/>
    <x v="0"/>
    <x v="4"/>
    <x v="4"/>
    <x v="7"/>
    <x v="531"/>
    <x v="0"/>
    <x v="9"/>
    <x v="0"/>
    <n v="73400"/>
  </r>
  <r>
    <s v="CSKU08178_2ES"/>
    <x v="2"/>
    <x v="1"/>
    <x v="0"/>
    <x v="0"/>
    <x v="4"/>
    <x v="7"/>
    <x v="531"/>
    <x v="0"/>
    <x v="9"/>
    <x v="0"/>
    <n v="76930"/>
  </r>
  <r>
    <s v="CSKU08179_2ES"/>
    <x v="2"/>
    <x v="1"/>
    <x v="0"/>
    <x v="7"/>
    <x v="4"/>
    <x v="7"/>
    <x v="531"/>
    <x v="0"/>
    <x v="9"/>
    <x v="0"/>
    <n v="80500"/>
  </r>
  <r>
    <s v="CSKU08180_2ES"/>
    <x v="2"/>
    <x v="1"/>
    <x v="0"/>
    <x v="4"/>
    <x v="1"/>
    <x v="7"/>
    <x v="531"/>
    <x v="0"/>
    <x v="9"/>
    <x v="0"/>
    <n v="87020"/>
  </r>
  <r>
    <s v="CSKU08181_2ES"/>
    <x v="2"/>
    <x v="1"/>
    <x v="0"/>
    <x v="0"/>
    <x v="1"/>
    <x v="7"/>
    <x v="531"/>
    <x v="0"/>
    <x v="9"/>
    <x v="0"/>
    <n v="90550"/>
  </r>
  <r>
    <s v="CSKU08182_2ES"/>
    <x v="2"/>
    <x v="1"/>
    <x v="0"/>
    <x v="7"/>
    <x v="1"/>
    <x v="7"/>
    <x v="531"/>
    <x v="0"/>
    <x v="9"/>
    <x v="0"/>
    <n v="94100"/>
  </r>
  <r>
    <s v="CSKU08183_2ES"/>
    <x v="2"/>
    <x v="1"/>
    <x v="1"/>
    <x v="4"/>
    <x v="4"/>
    <x v="7"/>
    <x v="531"/>
    <x v="1"/>
    <x v="9"/>
    <x v="0"/>
    <n v="77020"/>
  </r>
  <r>
    <s v="CSKU08184_2ES"/>
    <x v="2"/>
    <x v="1"/>
    <x v="1"/>
    <x v="4"/>
    <x v="1"/>
    <x v="7"/>
    <x v="531"/>
    <x v="1"/>
    <x v="9"/>
    <x v="0"/>
    <n v="91480"/>
  </r>
  <r>
    <s v="CSKU06638_2ES"/>
    <x v="2"/>
    <x v="1"/>
    <x v="1"/>
    <x v="4"/>
    <x v="1"/>
    <x v="7"/>
    <x v="423"/>
    <x v="1"/>
    <x v="9"/>
    <x v="0"/>
    <n v="72600"/>
  </r>
  <r>
    <s v="CSKU06639_2ES"/>
    <x v="2"/>
    <x v="1"/>
    <x v="1"/>
    <x v="0"/>
    <x v="1"/>
    <x v="7"/>
    <x v="423"/>
    <x v="1"/>
    <x v="9"/>
    <x v="0"/>
    <n v="76560"/>
  </r>
  <r>
    <s v="CSKU06640_2ES"/>
    <x v="2"/>
    <x v="1"/>
    <x v="1"/>
    <x v="7"/>
    <x v="1"/>
    <x v="7"/>
    <x v="423"/>
    <x v="1"/>
    <x v="9"/>
    <x v="0"/>
    <n v="80540"/>
  </r>
  <r>
    <s v="CSKU06709_2ES"/>
    <x v="2"/>
    <x v="1"/>
    <x v="1"/>
    <x v="7"/>
    <x v="4"/>
    <x v="7"/>
    <x v="422"/>
    <x v="1"/>
    <x v="9"/>
    <x v="0"/>
    <n v="69340"/>
  </r>
  <r>
    <s v="CSKU06710_2ES"/>
    <x v="2"/>
    <x v="1"/>
    <x v="1"/>
    <x v="4"/>
    <x v="1"/>
    <x v="7"/>
    <x v="422"/>
    <x v="1"/>
    <x v="9"/>
    <x v="0"/>
    <n v="72600"/>
  </r>
  <r>
    <s v="CSKU06711_2ES"/>
    <x v="2"/>
    <x v="1"/>
    <x v="1"/>
    <x v="0"/>
    <x v="1"/>
    <x v="7"/>
    <x v="422"/>
    <x v="1"/>
    <x v="9"/>
    <x v="0"/>
    <n v="76560"/>
  </r>
  <r>
    <s v="CSKU06712_2ES"/>
    <x v="2"/>
    <x v="1"/>
    <x v="1"/>
    <x v="7"/>
    <x v="1"/>
    <x v="7"/>
    <x v="422"/>
    <x v="1"/>
    <x v="9"/>
    <x v="0"/>
    <n v="80540"/>
  </r>
  <r>
    <s v="CSKU06773_2ES"/>
    <x v="2"/>
    <x v="1"/>
    <x v="0"/>
    <x v="4"/>
    <x v="4"/>
    <x v="7"/>
    <x v="532"/>
    <x v="0"/>
    <x v="9"/>
    <x v="0"/>
    <n v="64800"/>
  </r>
  <r>
    <s v="CSKU06774_2ES"/>
    <x v="2"/>
    <x v="1"/>
    <x v="0"/>
    <x v="0"/>
    <x v="4"/>
    <x v="7"/>
    <x v="532"/>
    <x v="0"/>
    <x v="9"/>
    <x v="0"/>
    <n v="68330"/>
  </r>
  <r>
    <s v="CSKU06775_2ES"/>
    <x v="2"/>
    <x v="1"/>
    <x v="0"/>
    <x v="7"/>
    <x v="4"/>
    <x v="7"/>
    <x v="532"/>
    <x v="0"/>
    <x v="9"/>
    <x v="0"/>
    <n v="71900"/>
  </r>
  <r>
    <s v="CSKU06776_2ES"/>
    <x v="2"/>
    <x v="1"/>
    <x v="0"/>
    <x v="4"/>
    <x v="1"/>
    <x v="7"/>
    <x v="532"/>
    <x v="0"/>
    <x v="9"/>
    <x v="0"/>
    <n v="76040"/>
  </r>
  <r>
    <s v="CSKU06777_2ES"/>
    <x v="2"/>
    <x v="1"/>
    <x v="0"/>
    <x v="0"/>
    <x v="1"/>
    <x v="7"/>
    <x v="532"/>
    <x v="0"/>
    <x v="9"/>
    <x v="0"/>
    <n v="79570"/>
  </r>
  <r>
    <s v="CSKU06778_2ES"/>
    <x v="2"/>
    <x v="1"/>
    <x v="0"/>
    <x v="7"/>
    <x v="1"/>
    <x v="7"/>
    <x v="532"/>
    <x v="0"/>
    <x v="9"/>
    <x v="0"/>
    <n v="83120"/>
  </r>
  <r>
    <s v="CSKU06779_2ES"/>
    <x v="2"/>
    <x v="1"/>
    <x v="1"/>
    <x v="4"/>
    <x v="4"/>
    <x v="7"/>
    <x v="532"/>
    <x v="1"/>
    <x v="9"/>
    <x v="0"/>
    <n v="68420"/>
  </r>
  <r>
    <s v="CSKU06780_2ES"/>
    <x v="2"/>
    <x v="1"/>
    <x v="1"/>
    <x v="4"/>
    <x v="1"/>
    <x v="7"/>
    <x v="532"/>
    <x v="1"/>
    <x v="9"/>
    <x v="0"/>
    <n v="80500"/>
  </r>
  <r>
    <s v="CSKU06845_2ES"/>
    <x v="2"/>
    <x v="1"/>
    <x v="0"/>
    <x v="4"/>
    <x v="4"/>
    <x v="7"/>
    <x v="533"/>
    <x v="0"/>
    <x v="9"/>
    <x v="0"/>
    <n v="53860"/>
  </r>
  <r>
    <s v="CSKU06846_2ES"/>
    <x v="2"/>
    <x v="1"/>
    <x v="0"/>
    <x v="0"/>
    <x v="4"/>
    <x v="7"/>
    <x v="533"/>
    <x v="0"/>
    <x v="9"/>
    <x v="0"/>
    <n v="57390"/>
  </r>
  <r>
    <s v="CSKU06847_2ES"/>
    <x v="2"/>
    <x v="1"/>
    <x v="0"/>
    <x v="7"/>
    <x v="4"/>
    <x v="7"/>
    <x v="533"/>
    <x v="0"/>
    <x v="9"/>
    <x v="0"/>
    <n v="60960"/>
  </r>
  <r>
    <s v="CSKU06848_2ES"/>
    <x v="2"/>
    <x v="1"/>
    <x v="0"/>
    <x v="4"/>
    <x v="1"/>
    <x v="7"/>
    <x v="533"/>
    <x v="0"/>
    <x v="9"/>
    <x v="0"/>
    <n v="62440"/>
  </r>
  <r>
    <s v="CSKU05016_2ES"/>
    <x v="2"/>
    <x v="1"/>
    <x v="1"/>
    <x v="4"/>
    <x v="1"/>
    <x v="7"/>
    <x v="434"/>
    <x v="1"/>
    <x v="9"/>
    <x v="0"/>
    <n v="91480"/>
  </r>
  <r>
    <s v="CSKU05017_2ES"/>
    <x v="2"/>
    <x v="1"/>
    <x v="1"/>
    <x v="0"/>
    <x v="4"/>
    <x v="7"/>
    <x v="434"/>
    <x v="1"/>
    <x v="9"/>
    <x v="0"/>
    <n v="80980"/>
  </r>
  <r>
    <s v="CSKU05018_2ES"/>
    <x v="2"/>
    <x v="1"/>
    <x v="1"/>
    <x v="0"/>
    <x v="1"/>
    <x v="7"/>
    <x v="434"/>
    <x v="1"/>
    <x v="9"/>
    <x v="0"/>
    <n v="95440"/>
  </r>
  <r>
    <s v="CSKU05019_2ES"/>
    <x v="2"/>
    <x v="1"/>
    <x v="1"/>
    <x v="7"/>
    <x v="4"/>
    <x v="7"/>
    <x v="434"/>
    <x v="1"/>
    <x v="9"/>
    <x v="0"/>
    <n v="84960"/>
  </r>
  <r>
    <s v="CSKU05020_2ES"/>
    <x v="2"/>
    <x v="1"/>
    <x v="1"/>
    <x v="7"/>
    <x v="1"/>
    <x v="7"/>
    <x v="434"/>
    <x v="1"/>
    <x v="9"/>
    <x v="0"/>
    <n v="99420"/>
  </r>
  <r>
    <s v="CSKU05125_2ES"/>
    <x v="2"/>
    <x v="1"/>
    <x v="1"/>
    <x v="0"/>
    <x v="4"/>
    <x v="7"/>
    <x v="435"/>
    <x v="1"/>
    <x v="9"/>
    <x v="0"/>
    <n v="63780"/>
  </r>
  <r>
    <s v="CSKU05126_2ES"/>
    <x v="2"/>
    <x v="1"/>
    <x v="1"/>
    <x v="0"/>
    <x v="1"/>
    <x v="7"/>
    <x v="435"/>
    <x v="1"/>
    <x v="9"/>
    <x v="0"/>
    <n v="73480"/>
  </r>
  <r>
    <s v="CSKU05127_2ES"/>
    <x v="2"/>
    <x v="1"/>
    <x v="1"/>
    <x v="7"/>
    <x v="4"/>
    <x v="7"/>
    <x v="435"/>
    <x v="1"/>
    <x v="9"/>
    <x v="0"/>
    <n v="67760"/>
  </r>
  <r>
    <s v="CSKU05128_2ES"/>
    <x v="2"/>
    <x v="1"/>
    <x v="1"/>
    <x v="7"/>
    <x v="1"/>
    <x v="7"/>
    <x v="435"/>
    <x v="1"/>
    <x v="9"/>
    <x v="0"/>
    <n v="77460"/>
  </r>
  <r>
    <s v="CSKU05225_2ES"/>
    <x v="2"/>
    <x v="1"/>
    <x v="0"/>
    <x v="4"/>
    <x v="4"/>
    <x v="7"/>
    <x v="534"/>
    <x v="0"/>
    <x v="9"/>
    <x v="0"/>
    <n v="53860"/>
  </r>
  <r>
    <s v="CSKU05338_2ES"/>
    <x v="2"/>
    <x v="1"/>
    <x v="0"/>
    <x v="7"/>
    <x v="1"/>
    <x v="7"/>
    <x v="436"/>
    <x v="0"/>
    <x v="9"/>
    <x v="0"/>
    <n v="83120"/>
  </r>
  <r>
    <s v="CSKU05339_2ES"/>
    <x v="2"/>
    <x v="1"/>
    <x v="1"/>
    <x v="4"/>
    <x v="4"/>
    <x v="7"/>
    <x v="436"/>
    <x v="1"/>
    <x v="9"/>
    <x v="0"/>
    <n v="68420"/>
  </r>
  <r>
    <s v="CSKU05340_2ES"/>
    <x v="2"/>
    <x v="1"/>
    <x v="1"/>
    <x v="4"/>
    <x v="1"/>
    <x v="7"/>
    <x v="436"/>
    <x v="1"/>
    <x v="9"/>
    <x v="0"/>
    <n v="80500"/>
  </r>
  <r>
    <s v="CSKU05341_2ES"/>
    <x v="2"/>
    <x v="1"/>
    <x v="1"/>
    <x v="0"/>
    <x v="4"/>
    <x v="7"/>
    <x v="436"/>
    <x v="1"/>
    <x v="9"/>
    <x v="0"/>
    <n v="72380"/>
  </r>
  <r>
    <s v="CSKU05342_2ES"/>
    <x v="2"/>
    <x v="1"/>
    <x v="1"/>
    <x v="0"/>
    <x v="1"/>
    <x v="7"/>
    <x v="436"/>
    <x v="1"/>
    <x v="9"/>
    <x v="0"/>
    <n v="84460"/>
  </r>
  <r>
    <s v="CSKU05343_2ES"/>
    <x v="2"/>
    <x v="1"/>
    <x v="1"/>
    <x v="7"/>
    <x v="4"/>
    <x v="7"/>
    <x v="436"/>
    <x v="1"/>
    <x v="9"/>
    <x v="0"/>
    <n v="76360"/>
  </r>
  <r>
    <s v="CSKU05344_2ES"/>
    <x v="2"/>
    <x v="1"/>
    <x v="1"/>
    <x v="7"/>
    <x v="1"/>
    <x v="7"/>
    <x v="436"/>
    <x v="1"/>
    <x v="9"/>
    <x v="0"/>
    <n v="88440"/>
  </r>
  <r>
    <s v="CSKU05516_2ES"/>
    <x v="2"/>
    <x v="1"/>
    <x v="0"/>
    <x v="4"/>
    <x v="1"/>
    <x v="7"/>
    <x v="437"/>
    <x v="0"/>
    <x v="9"/>
    <x v="0"/>
    <n v="73420"/>
  </r>
  <r>
    <s v="CSKU05517_2ES"/>
    <x v="2"/>
    <x v="1"/>
    <x v="0"/>
    <x v="0"/>
    <x v="1"/>
    <x v="7"/>
    <x v="437"/>
    <x v="0"/>
    <x v="9"/>
    <x v="0"/>
    <n v="76950"/>
  </r>
  <r>
    <s v="CSKU05518_2ES"/>
    <x v="2"/>
    <x v="1"/>
    <x v="0"/>
    <x v="7"/>
    <x v="1"/>
    <x v="7"/>
    <x v="437"/>
    <x v="0"/>
    <x v="9"/>
    <x v="0"/>
    <n v="80500"/>
  </r>
  <r>
    <s v="CSKU05519_2ES"/>
    <x v="2"/>
    <x v="1"/>
    <x v="1"/>
    <x v="4"/>
    <x v="4"/>
    <x v="7"/>
    <x v="437"/>
    <x v="1"/>
    <x v="9"/>
    <x v="0"/>
    <n v="66080"/>
  </r>
  <r>
    <s v="CSKU05520_2ES"/>
    <x v="2"/>
    <x v="1"/>
    <x v="1"/>
    <x v="4"/>
    <x v="1"/>
    <x v="7"/>
    <x v="437"/>
    <x v="1"/>
    <x v="9"/>
    <x v="0"/>
    <n v="77880"/>
  </r>
  <r>
    <s v="CSKU05521_2ES"/>
    <x v="2"/>
    <x v="1"/>
    <x v="1"/>
    <x v="0"/>
    <x v="4"/>
    <x v="7"/>
    <x v="437"/>
    <x v="1"/>
    <x v="9"/>
    <x v="0"/>
    <n v="70040"/>
  </r>
  <r>
    <s v="CSKU05522_2ES"/>
    <x v="2"/>
    <x v="1"/>
    <x v="1"/>
    <x v="0"/>
    <x v="1"/>
    <x v="7"/>
    <x v="437"/>
    <x v="1"/>
    <x v="9"/>
    <x v="0"/>
    <n v="81840"/>
  </r>
  <r>
    <s v="CSKU05523_2ES"/>
    <x v="2"/>
    <x v="1"/>
    <x v="1"/>
    <x v="7"/>
    <x v="4"/>
    <x v="7"/>
    <x v="437"/>
    <x v="1"/>
    <x v="9"/>
    <x v="0"/>
    <n v="74020"/>
  </r>
  <r>
    <s v="CSKU05524_2ES"/>
    <x v="2"/>
    <x v="1"/>
    <x v="1"/>
    <x v="7"/>
    <x v="1"/>
    <x v="7"/>
    <x v="437"/>
    <x v="1"/>
    <x v="9"/>
    <x v="0"/>
    <n v="85820"/>
  </r>
  <r>
    <s v="CSKU05596_2ES"/>
    <x v="2"/>
    <x v="1"/>
    <x v="1"/>
    <x v="7"/>
    <x v="1"/>
    <x v="7"/>
    <x v="424"/>
    <x v="1"/>
    <x v="9"/>
    <x v="0"/>
    <n v="99420"/>
  </r>
  <r>
    <s v="CSKU05734_2ES"/>
    <x v="2"/>
    <x v="1"/>
    <x v="0"/>
    <x v="7"/>
    <x v="1"/>
    <x v="7"/>
    <x v="428"/>
    <x v="0"/>
    <x v="9"/>
    <x v="0"/>
    <n v="69520"/>
  </r>
  <r>
    <s v="CSKU05735_2ES"/>
    <x v="2"/>
    <x v="1"/>
    <x v="1"/>
    <x v="4"/>
    <x v="4"/>
    <x v="7"/>
    <x v="428"/>
    <x v="1"/>
    <x v="9"/>
    <x v="0"/>
    <n v="57480"/>
  </r>
  <r>
    <s v="CSKU05736_2ES"/>
    <x v="2"/>
    <x v="1"/>
    <x v="1"/>
    <x v="4"/>
    <x v="1"/>
    <x v="7"/>
    <x v="428"/>
    <x v="1"/>
    <x v="9"/>
    <x v="0"/>
    <n v="66900"/>
  </r>
  <r>
    <s v="CSKU05737_2ES"/>
    <x v="2"/>
    <x v="1"/>
    <x v="1"/>
    <x v="0"/>
    <x v="4"/>
    <x v="7"/>
    <x v="428"/>
    <x v="1"/>
    <x v="9"/>
    <x v="0"/>
    <n v="61440"/>
  </r>
  <r>
    <s v="CSKU05738_2ES"/>
    <x v="2"/>
    <x v="1"/>
    <x v="1"/>
    <x v="0"/>
    <x v="1"/>
    <x v="7"/>
    <x v="428"/>
    <x v="1"/>
    <x v="9"/>
    <x v="0"/>
    <n v="70860"/>
  </r>
  <r>
    <s v="CSKU05739_2ES"/>
    <x v="2"/>
    <x v="1"/>
    <x v="1"/>
    <x v="7"/>
    <x v="4"/>
    <x v="7"/>
    <x v="428"/>
    <x v="1"/>
    <x v="9"/>
    <x v="0"/>
    <n v="65420"/>
  </r>
  <r>
    <s v="CSKU05740_2ES"/>
    <x v="2"/>
    <x v="1"/>
    <x v="1"/>
    <x v="7"/>
    <x v="1"/>
    <x v="7"/>
    <x v="428"/>
    <x v="1"/>
    <x v="9"/>
    <x v="0"/>
    <n v="74840"/>
  </r>
  <r>
    <s v="CSKU05808_2ES"/>
    <x v="2"/>
    <x v="1"/>
    <x v="1"/>
    <x v="4"/>
    <x v="1"/>
    <x v="7"/>
    <x v="429"/>
    <x v="1"/>
    <x v="9"/>
    <x v="0"/>
    <n v="77880"/>
  </r>
  <r>
    <s v="CSKU05809_2ES"/>
    <x v="2"/>
    <x v="1"/>
    <x v="1"/>
    <x v="0"/>
    <x v="4"/>
    <x v="7"/>
    <x v="429"/>
    <x v="1"/>
    <x v="9"/>
    <x v="0"/>
    <n v="70040"/>
  </r>
  <r>
    <s v="CSKU05810_2ES"/>
    <x v="2"/>
    <x v="1"/>
    <x v="1"/>
    <x v="0"/>
    <x v="1"/>
    <x v="7"/>
    <x v="429"/>
    <x v="1"/>
    <x v="9"/>
    <x v="0"/>
    <n v="81840"/>
  </r>
  <r>
    <s v="CSKU05811_2ES"/>
    <x v="2"/>
    <x v="1"/>
    <x v="1"/>
    <x v="7"/>
    <x v="4"/>
    <x v="7"/>
    <x v="429"/>
    <x v="1"/>
    <x v="9"/>
    <x v="0"/>
    <n v="74020"/>
  </r>
  <r>
    <s v="CSKU05812_2ES"/>
    <x v="2"/>
    <x v="1"/>
    <x v="1"/>
    <x v="7"/>
    <x v="1"/>
    <x v="7"/>
    <x v="429"/>
    <x v="1"/>
    <x v="9"/>
    <x v="0"/>
    <n v="85820"/>
  </r>
  <r>
    <s v="CSKU05883_2ES"/>
    <x v="2"/>
    <x v="1"/>
    <x v="1"/>
    <x v="7"/>
    <x v="4"/>
    <x v="7"/>
    <x v="430"/>
    <x v="1"/>
    <x v="9"/>
    <x v="0"/>
    <n v="74020"/>
  </r>
  <r>
    <s v="CSKU05884_2ES"/>
    <x v="2"/>
    <x v="1"/>
    <x v="1"/>
    <x v="7"/>
    <x v="1"/>
    <x v="7"/>
    <x v="430"/>
    <x v="1"/>
    <x v="9"/>
    <x v="0"/>
    <n v="85820"/>
  </r>
  <r>
    <s v="CSKU03276_3EK"/>
    <x v="1"/>
    <x v="0"/>
    <x v="1"/>
    <x v="0"/>
    <x v="4"/>
    <x v="1"/>
    <x v="116"/>
    <x v="1"/>
    <x v="8"/>
    <x v="0"/>
    <n v="32250"/>
  </r>
  <r>
    <s v="CSKU03277_3EK"/>
    <x v="1"/>
    <x v="0"/>
    <x v="1"/>
    <x v="0"/>
    <x v="1"/>
    <x v="6"/>
    <x v="116"/>
    <x v="1"/>
    <x v="7"/>
    <x v="0"/>
    <n v="30900"/>
  </r>
  <r>
    <s v="CSKU03278_3EK"/>
    <x v="1"/>
    <x v="0"/>
    <x v="1"/>
    <x v="0"/>
    <x v="1"/>
    <x v="1"/>
    <x v="116"/>
    <x v="1"/>
    <x v="8"/>
    <x v="0"/>
    <n v="35110"/>
  </r>
  <r>
    <s v="CSKU03279_3EK"/>
    <x v="1"/>
    <x v="0"/>
    <x v="1"/>
    <x v="6"/>
    <x v="4"/>
    <x v="6"/>
    <x v="116"/>
    <x v="1"/>
    <x v="7"/>
    <x v="0"/>
    <n v="33950"/>
  </r>
  <r>
    <s v="CSKU03280_3EK"/>
    <x v="1"/>
    <x v="0"/>
    <x v="1"/>
    <x v="6"/>
    <x v="4"/>
    <x v="1"/>
    <x v="116"/>
    <x v="1"/>
    <x v="8"/>
    <x v="0"/>
    <n v="37160"/>
  </r>
  <r>
    <s v="CSKU03281_3EK"/>
    <x v="1"/>
    <x v="0"/>
    <x v="1"/>
    <x v="6"/>
    <x v="1"/>
    <x v="6"/>
    <x v="116"/>
    <x v="1"/>
    <x v="7"/>
    <x v="0"/>
    <n v="36160"/>
  </r>
  <r>
    <s v="CSKU03282_3EK"/>
    <x v="1"/>
    <x v="0"/>
    <x v="1"/>
    <x v="6"/>
    <x v="1"/>
    <x v="1"/>
    <x v="116"/>
    <x v="1"/>
    <x v="8"/>
    <x v="0"/>
    <n v="40630"/>
  </r>
  <r>
    <s v="CSKU03283_3EK"/>
    <x v="1"/>
    <x v="0"/>
    <x v="1"/>
    <x v="2"/>
    <x v="4"/>
    <x v="6"/>
    <x v="116"/>
    <x v="1"/>
    <x v="7"/>
    <x v="0"/>
    <n v="38870"/>
  </r>
  <r>
    <s v="CSKU03284_3EK"/>
    <x v="1"/>
    <x v="0"/>
    <x v="1"/>
    <x v="2"/>
    <x v="4"/>
    <x v="1"/>
    <x v="116"/>
    <x v="1"/>
    <x v="8"/>
    <x v="0"/>
    <n v="42250"/>
  </r>
  <r>
    <s v="CSKU03285_3EK"/>
    <x v="1"/>
    <x v="0"/>
    <x v="1"/>
    <x v="2"/>
    <x v="1"/>
    <x v="6"/>
    <x v="116"/>
    <x v="1"/>
    <x v="7"/>
    <x v="0"/>
    <n v="41400"/>
  </r>
  <r>
    <s v="CSKU03286_3EK"/>
    <x v="1"/>
    <x v="0"/>
    <x v="1"/>
    <x v="2"/>
    <x v="1"/>
    <x v="1"/>
    <x v="116"/>
    <x v="1"/>
    <x v="8"/>
    <x v="0"/>
    <n v="46040"/>
  </r>
  <r>
    <s v="CSKU03533_3EK"/>
    <x v="1"/>
    <x v="0"/>
    <x v="0"/>
    <x v="0"/>
    <x v="4"/>
    <x v="6"/>
    <x v="535"/>
    <x v="0"/>
    <x v="7"/>
    <x v="0"/>
    <n v="27730"/>
  </r>
  <r>
    <s v="CSKU03534_3EK"/>
    <x v="1"/>
    <x v="0"/>
    <x v="0"/>
    <x v="0"/>
    <x v="4"/>
    <x v="1"/>
    <x v="535"/>
    <x v="0"/>
    <x v="8"/>
    <x v="0"/>
    <n v="30600"/>
  </r>
  <r>
    <s v="CSKU03638_3EK"/>
    <x v="1"/>
    <x v="0"/>
    <x v="1"/>
    <x v="0"/>
    <x v="1"/>
    <x v="1"/>
    <x v="26"/>
    <x v="1"/>
    <x v="8"/>
    <x v="0"/>
    <n v="35110"/>
  </r>
  <r>
    <s v="CSKU03639_3EK"/>
    <x v="1"/>
    <x v="0"/>
    <x v="1"/>
    <x v="6"/>
    <x v="4"/>
    <x v="6"/>
    <x v="26"/>
    <x v="1"/>
    <x v="7"/>
    <x v="0"/>
    <n v="33950"/>
  </r>
  <r>
    <s v="CSKU03640_3EK"/>
    <x v="1"/>
    <x v="0"/>
    <x v="1"/>
    <x v="6"/>
    <x v="4"/>
    <x v="1"/>
    <x v="26"/>
    <x v="1"/>
    <x v="8"/>
    <x v="0"/>
    <n v="37160"/>
  </r>
  <r>
    <s v="CSKU03641_3EK"/>
    <x v="1"/>
    <x v="0"/>
    <x v="1"/>
    <x v="6"/>
    <x v="1"/>
    <x v="6"/>
    <x v="26"/>
    <x v="1"/>
    <x v="7"/>
    <x v="0"/>
    <n v="36160"/>
  </r>
  <r>
    <s v="CSKU03642_3EK"/>
    <x v="1"/>
    <x v="0"/>
    <x v="1"/>
    <x v="6"/>
    <x v="1"/>
    <x v="1"/>
    <x v="26"/>
    <x v="1"/>
    <x v="8"/>
    <x v="0"/>
    <n v="40630"/>
  </r>
  <r>
    <s v="CSKU03643_3EK"/>
    <x v="1"/>
    <x v="0"/>
    <x v="1"/>
    <x v="2"/>
    <x v="4"/>
    <x v="6"/>
    <x v="26"/>
    <x v="1"/>
    <x v="7"/>
    <x v="0"/>
    <n v="38870"/>
  </r>
  <r>
    <s v="CSKU03644_3EK"/>
    <x v="1"/>
    <x v="0"/>
    <x v="1"/>
    <x v="2"/>
    <x v="4"/>
    <x v="1"/>
    <x v="26"/>
    <x v="1"/>
    <x v="8"/>
    <x v="0"/>
    <n v="42250"/>
  </r>
  <r>
    <s v="CSKU03645_3EK"/>
    <x v="1"/>
    <x v="0"/>
    <x v="1"/>
    <x v="2"/>
    <x v="1"/>
    <x v="6"/>
    <x v="26"/>
    <x v="1"/>
    <x v="7"/>
    <x v="0"/>
    <n v="41400"/>
  </r>
  <r>
    <s v="CSKU03646_3EK"/>
    <x v="1"/>
    <x v="0"/>
    <x v="1"/>
    <x v="2"/>
    <x v="1"/>
    <x v="1"/>
    <x v="26"/>
    <x v="1"/>
    <x v="8"/>
    <x v="0"/>
    <n v="46040"/>
  </r>
  <r>
    <s v="CSKU05948_2ES"/>
    <x v="2"/>
    <x v="1"/>
    <x v="0"/>
    <x v="4"/>
    <x v="1"/>
    <x v="7"/>
    <x v="431"/>
    <x v="0"/>
    <x v="9"/>
    <x v="0"/>
    <n v="62440"/>
  </r>
  <r>
    <s v="CSKU05949_2ES"/>
    <x v="2"/>
    <x v="1"/>
    <x v="0"/>
    <x v="0"/>
    <x v="1"/>
    <x v="7"/>
    <x v="431"/>
    <x v="0"/>
    <x v="9"/>
    <x v="0"/>
    <n v="65970"/>
  </r>
  <r>
    <s v="CSKU05950_2ES"/>
    <x v="2"/>
    <x v="1"/>
    <x v="0"/>
    <x v="7"/>
    <x v="1"/>
    <x v="7"/>
    <x v="431"/>
    <x v="0"/>
    <x v="9"/>
    <x v="0"/>
    <n v="69520"/>
  </r>
  <r>
    <s v="CSKU05951_2ES"/>
    <x v="2"/>
    <x v="1"/>
    <x v="1"/>
    <x v="4"/>
    <x v="4"/>
    <x v="7"/>
    <x v="431"/>
    <x v="1"/>
    <x v="9"/>
    <x v="0"/>
    <n v="57480"/>
  </r>
  <r>
    <s v="CSKU05952_2ES"/>
    <x v="2"/>
    <x v="1"/>
    <x v="1"/>
    <x v="4"/>
    <x v="1"/>
    <x v="7"/>
    <x v="431"/>
    <x v="1"/>
    <x v="9"/>
    <x v="0"/>
    <n v="66900"/>
  </r>
  <r>
    <s v="CSKU05953_2ES"/>
    <x v="2"/>
    <x v="1"/>
    <x v="1"/>
    <x v="0"/>
    <x v="4"/>
    <x v="7"/>
    <x v="431"/>
    <x v="1"/>
    <x v="9"/>
    <x v="0"/>
    <n v="61440"/>
  </r>
  <r>
    <s v="CSKU05954_2ES"/>
    <x v="2"/>
    <x v="1"/>
    <x v="1"/>
    <x v="0"/>
    <x v="1"/>
    <x v="7"/>
    <x v="431"/>
    <x v="1"/>
    <x v="9"/>
    <x v="0"/>
    <n v="70860"/>
  </r>
  <r>
    <s v="CSKU05955_2ES"/>
    <x v="2"/>
    <x v="1"/>
    <x v="1"/>
    <x v="7"/>
    <x v="4"/>
    <x v="7"/>
    <x v="431"/>
    <x v="1"/>
    <x v="9"/>
    <x v="0"/>
    <n v="65420"/>
  </r>
  <r>
    <s v="CSKU05956_2ES"/>
    <x v="2"/>
    <x v="1"/>
    <x v="1"/>
    <x v="7"/>
    <x v="1"/>
    <x v="7"/>
    <x v="431"/>
    <x v="1"/>
    <x v="9"/>
    <x v="0"/>
    <n v="74840"/>
  </r>
  <r>
    <s v="CSKU04002_3EK"/>
    <x v="1"/>
    <x v="0"/>
    <x v="1"/>
    <x v="6"/>
    <x v="1"/>
    <x v="1"/>
    <x v="23"/>
    <x v="1"/>
    <x v="8"/>
    <x v="0"/>
    <n v="40630"/>
  </r>
  <r>
    <s v="CSKU04003_3EK"/>
    <x v="1"/>
    <x v="0"/>
    <x v="1"/>
    <x v="2"/>
    <x v="4"/>
    <x v="6"/>
    <x v="23"/>
    <x v="1"/>
    <x v="7"/>
    <x v="0"/>
    <n v="38870"/>
  </r>
  <r>
    <s v="CSKU04004_3EK"/>
    <x v="1"/>
    <x v="0"/>
    <x v="1"/>
    <x v="2"/>
    <x v="4"/>
    <x v="1"/>
    <x v="23"/>
    <x v="1"/>
    <x v="8"/>
    <x v="0"/>
    <n v="42250"/>
  </r>
  <r>
    <s v="CSKU04005_3EK"/>
    <x v="1"/>
    <x v="0"/>
    <x v="1"/>
    <x v="2"/>
    <x v="1"/>
    <x v="6"/>
    <x v="23"/>
    <x v="1"/>
    <x v="7"/>
    <x v="0"/>
    <n v="41400"/>
  </r>
  <r>
    <s v="CSKU04006_3EK"/>
    <x v="1"/>
    <x v="0"/>
    <x v="1"/>
    <x v="2"/>
    <x v="1"/>
    <x v="1"/>
    <x v="23"/>
    <x v="1"/>
    <x v="8"/>
    <x v="0"/>
    <n v="46040"/>
  </r>
  <r>
    <s v="CSKU04433_3EK"/>
    <x v="1"/>
    <x v="0"/>
    <x v="0"/>
    <x v="0"/>
    <x v="4"/>
    <x v="6"/>
    <x v="536"/>
    <x v="0"/>
    <x v="7"/>
    <x v="0"/>
    <n v="27730"/>
  </r>
  <r>
    <s v="CSKU04434_3EK"/>
    <x v="1"/>
    <x v="0"/>
    <x v="0"/>
    <x v="0"/>
    <x v="4"/>
    <x v="1"/>
    <x v="536"/>
    <x v="0"/>
    <x v="8"/>
    <x v="0"/>
    <n v="30600"/>
  </r>
  <r>
    <s v="CSKU04543_3EK"/>
    <x v="1"/>
    <x v="0"/>
    <x v="1"/>
    <x v="2"/>
    <x v="4"/>
    <x v="6"/>
    <x v="19"/>
    <x v="1"/>
    <x v="7"/>
    <x v="0"/>
    <n v="38870"/>
  </r>
  <r>
    <s v="CSKU04544_3EK"/>
    <x v="1"/>
    <x v="0"/>
    <x v="1"/>
    <x v="2"/>
    <x v="4"/>
    <x v="1"/>
    <x v="19"/>
    <x v="1"/>
    <x v="8"/>
    <x v="0"/>
    <n v="42250"/>
  </r>
  <r>
    <s v="CSKU04545_3EK"/>
    <x v="1"/>
    <x v="0"/>
    <x v="1"/>
    <x v="2"/>
    <x v="1"/>
    <x v="6"/>
    <x v="19"/>
    <x v="1"/>
    <x v="7"/>
    <x v="0"/>
    <n v="41400"/>
  </r>
  <r>
    <s v="CSKU04546_3EK"/>
    <x v="1"/>
    <x v="0"/>
    <x v="1"/>
    <x v="2"/>
    <x v="1"/>
    <x v="1"/>
    <x v="19"/>
    <x v="1"/>
    <x v="8"/>
    <x v="0"/>
    <n v="46040"/>
  </r>
  <r>
    <s v="CSKU01304_2EK"/>
    <x v="1"/>
    <x v="1"/>
    <x v="1"/>
    <x v="4"/>
    <x v="4"/>
    <x v="6"/>
    <x v="34"/>
    <x v="1"/>
    <x v="5"/>
    <x v="0"/>
    <n v="26180"/>
  </r>
  <r>
    <s v="CSKU01305_2EK"/>
    <x v="1"/>
    <x v="1"/>
    <x v="1"/>
    <x v="4"/>
    <x v="4"/>
    <x v="1"/>
    <x v="34"/>
    <x v="1"/>
    <x v="6"/>
    <x v="0"/>
    <n v="28890"/>
  </r>
  <r>
    <s v="CSKU01306_2EK"/>
    <x v="1"/>
    <x v="1"/>
    <x v="1"/>
    <x v="4"/>
    <x v="1"/>
    <x v="6"/>
    <x v="34"/>
    <x v="1"/>
    <x v="5"/>
    <x v="0"/>
    <n v="27800"/>
  </r>
  <r>
    <s v="CSKU01307_2EK"/>
    <x v="1"/>
    <x v="1"/>
    <x v="1"/>
    <x v="4"/>
    <x v="1"/>
    <x v="1"/>
    <x v="34"/>
    <x v="1"/>
    <x v="6"/>
    <x v="0"/>
    <n v="31430"/>
  </r>
  <r>
    <s v="CSKU01474_2EK"/>
    <x v="1"/>
    <x v="1"/>
    <x v="0"/>
    <x v="4"/>
    <x v="1"/>
    <x v="6"/>
    <x v="438"/>
    <x v="0"/>
    <x v="5"/>
    <x v="0"/>
    <n v="26610"/>
  </r>
  <r>
    <s v="CSKU01475_2EK"/>
    <x v="1"/>
    <x v="1"/>
    <x v="0"/>
    <x v="4"/>
    <x v="1"/>
    <x v="1"/>
    <x v="438"/>
    <x v="0"/>
    <x v="6"/>
    <x v="0"/>
    <n v="29880"/>
  </r>
  <r>
    <s v="CSKU01476_2EK"/>
    <x v="1"/>
    <x v="1"/>
    <x v="1"/>
    <x v="1"/>
    <x v="4"/>
    <x v="6"/>
    <x v="438"/>
    <x v="1"/>
    <x v="5"/>
    <x v="0"/>
    <n v="20860"/>
  </r>
  <r>
    <s v="CSKU01477_2EK"/>
    <x v="1"/>
    <x v="1"/>
    <x v="1"/>
    <x v="1"/>
    <x v="4"/>
    <x v="1"/>
    <x v="438"/>
    <x v="1"/>
    <x v="6"/>
    <x v="0"/>
    <n v="23140"/>
  </r>
  <r>
    <s v="CSKU01478_2EK"/>
    <x v="1"/>
    <x v="1"/>
    <x v="1"/>
    <x v="1"/>
    <x v="1"/>
    <x v="6"/>
    <x v="438"/>
    <x v="1"/>
    <x v="5"/>
    <x v="0"/>
    <n v="22570"/>
  </r>
  <r>
    <s v="CSKU01479_2EK"/>
    <x v="1"/>
    <x v="1"/>
    <x v="1"/>
    <x v="1"/>
    <x v="1"/>
    <x v="1"/>
    <x v="438"/>
    <x v="1"/>
    <x v="6"/>
    <x v="0"/>
    <n v="25190"/>
  </r>
  <r>
    <s v="CSKU01480_2EK"/>
    <x v="1"/>
    <x v="1"/>
    <x v="1"/>
    <x v="5"/>
    <x v="4"/>
    <x v="6"/>
    <x v="438"/>
    <x v="1"/>
    <x v="5"/>
    <x v="0"/>
    <n v="23870"/>
  </r>
  <r>
    <s v="CSKU01481_2EK"/>
    <x v="1"/>
    <x v="1"/>
    <x v="1"/>
    <x v="5"/>
    <x v="4"/>
    <x v="1"/>
    <x v="438"/>
    <x v="1"/>
    <x v="6"/>
    <x v="0"/>
    <n v="26390"/>
  </r>
  <r>
    <s v="CSKU01482_2EK"/>
    <x v="1"/>
    <x v="1"/>
    <x v="1"/>
    <x v="5"/>
    <x v="1"/>
    <x v="6"/>
    <x v="438"/>
    <x v="1"/>
    <x v="5"/>
    <x v="0"/>
    <n v="25300"/>
  </r>
  <r>
    <s v="CSKU01483_2EK"/>
    <x v="1"/>
    <x v="1"/>
    <x v="1"/>
    <x v="5"/>
    <x v="1"/>
    <x v="1"/>
    <x v="438"/>
    <x v="1"/>
    <x v="6"/>
    <x v="0"/>
    <n v="28760"/>
  </r>
  <r>
    <s v="CSKU01838_2EK"/>
    <x v="1"/>
    <x v="1"/>
    <x v="1"/>
    <x v="1"/>
    <x v="1"/>
    <x v="6"/>
    <x v="115"/>
    <x v="1"/>
    <x v="5"/>
    <x v="0"/>
    <n v="22570"/>
  </r>
  <r>
    <s v="CSKU01839_2EK"/>
    <x v="1"/>
    <x v="1"/>
    <x v="1"/>
    <x v="1"/>
    <x v="1"/>
    <x v="1"/>
    <x v="115"/>
    <x v="1"/>
    <x v="6"/>
    <x v="0"/>
    <n v="25190"/>
  </r>
  <r>
    <s v="CSKU01840_2EK"/>
    <x v="1"/>
    <x v="1"/>
    <x v="1"/>
    <x v="5"/>
    <x v="4"/>
    <x v="6"/>
    <x v="115"/>
    <x v="1"/>
    <x v="5"/>
    <x v="0"/>
    <n v="23870"/>
  </r>
  <r>
    <s v="CSKU01841_2EK"/>
    <x v="1"/>
    <x v="1"/>
    <x v="1"/>
    <x v="5"/>
    <x v="4"/>
    <x v="1"/>
    <x v="115"/>
    <x v="1"/>
    <x v="6"/>
    <x v="0"/>
    <n v="26390"/>
  </r>
  <r>
    <s v="CSKU01842_2EK"/>
    <x v="1"/>
    <x v="1"/>
    <x v="1"/>
    <x v="5"/>
    <x v="1"/>
    <x v="6"/>
    <x v="115"/>
    <x v="1"/>
    <x v="5"/>
    <x v="0"/>
    <n v="25300"/>
  </r>
  <r>
    <s v="CSKU01843_2EK"/>
    <x v="1"/>
    <x v="1"/>
    <x v="1"/>
    <x v="5"/>
    <x v="1"/>
    <x v="1"/>
    <x v="115"/>
    <x v="1"/>
    <x v="6"/>
    <x v="0"/>
    <n v="28760"/>
  </r>
  <r>
    <s v="CSKU01844_2EK"/>
    <x v="1"/>
    <x v="1"/>
    <x v="1"/>
    <x v="4"/>
    <x v="4"/>
    <x v="6"/>
    <x v="115"/>
    <x v="1"/>
    <x v="5"/>
    <x v="0"/>
    <n v="26180"/>
  </r>
  <r>
    <s v="CSKU01845_2EK"/>
    <x v="1"/>
    <x v="1"/>
    <x v="1"/>
    <x v="4"/>
    <x v="4"/>
    <x v="1"/>
    <x v="115"/>
    <x v="1"/>
    <x v="6"/>
    <x v="0"/>
    <n v="28890"/>
  </r>
  <r>
    <s v="CSKU01846_2EK"/>
    <x v="1"/>
    <x v="1"/>
    <x v="1"/>
    <x v="4"/>
    <x v="1"/>
    <x v="6"/>
    <x v="115"/>
    <x v="1"/>
    <x v="5"/>
    <x v="0"/>
    <n v="27800"/>
  </r>
  <r>
    <s v="CSKU01847_2EK"/>
    <x v="1"/>
    <x v="1"/>
    <x v="1"/>
    <x v="4"/>
    <x v="1"/>
    <x v="1"/>
    <x v="115"/>
    <x v="1"/>
    <x v="6"/>
    <x v="0"/>
    <n v="31430"/>
  </r>
  <r>
    <s v="CSKU02199_2EK"/>
    <x v="1"/>
    <x v="1"/>
    <x v="1"/>
    <x v="1"/>
    <x v="1"/>
    <x v="1"/>
    <x v="28"/>
    <x v="1"/>
    <x v="6"/>
    <x v="0"/>
    <n v="25190"/>
  </r>
  <r>
    <s v="CSKU02200_2EK"/>
    <x v="1"/>
    <x v="1"/>
    <x v="1"/>
    <x v="5"/>
    <x v="4"/>
    <x v="6"/>
    <x v="28"/>
    <x v="1"/>
    <x v="5"/>
    <x v="0"/>
    <n v="23870"/>
  </r>
  <r>
    <s v="CSKU02201_2EK"/>
    <x v="1"/>
    <x v="1"/>
    <x v="1"/>
    <x v="5"/>
    <x v="4"/>
    <x v="1"/>
    <x v="28"/>
    <x v="1"/>
    <x v="6"/>
    <x v="0"/>
    <n v="26390"/>
  </r>
  <r>
    <s v="CSKU02202_2EK"/>
    <x v="1"/>
    <x v="1"/>
    <x v="1"/>
    <x v="5"/>
    <x v="1"/>
    <x v="6"/>
    <x v="28"/>
    <x v="1"/>
    <x v="5"/>
    <x v="0"/>
    <n v="25300"/>
  </r>
  <r>
    <s v="CSKU02203_2EK"/>
    <x v="1"/>
    <x v="1"/>
    <x v="1"/>
    <x v="5"/>
    <x v="1"/>
    <x v="1"/>
    <x v="28"/>
    <x v="1"/>
    <x v="6"/>
    <x v="0"/>
    <n v="28760"/>
  </r>
  <r>
    <s v="CSKU02204_2EK"/>
    <x v="1"/>
    <x v="1"/>
    <x v="1"/>
    <x v="4"/>
    <x v="4"/>
    <x v="6"/>
    <x v="28"/>
    <x v="1"/>
    <x v="5"/>
    <x v="0"/>
    <n v="26180"/>
  </r>
  <r>
    <s v="CSKU02205_2EK"/>
    <x v="1"/>
    <x v="1"/>
    <x v="1"/>
    <x v="4"/>
    <x v="4"/>
    <x v="1"/>
    <x v="28"/>
    <x v="1"/>
    <x v="6"/>
    <x v="0"/>
    <n v="28890"/>
  </r>
  <r>
    <s v="CSKU02206_2EK"/>
    <x v="1"/>
    <x v="1"/>
    <x v="1"/>
    <x v="4"/>
    <x v="1"/>
    <x v="6"/>
    <x v="28"/>
    <x v="1"/>
    <x v="5"/>
    <x v="0"/>
    <n v="27800"/>
  </r>
  <r>
    <s v="CSKU02207_2EK"/>
    <x v="1"/>
    <x v="1"/>
    <x v="1"/>
    <x v="4"/>
    <x v="1"/>
    <x v="1"/>
    <x v="28"/>
    <x v="1"/>
    <x v="6"/>
    <x v="0"/>
    <n v="31430"/>
  </r>
  <r>
    <s v="CSKU02633_3EK"/>
    <x v="1"/>
    <x v="0"/>
    <x v="0"/>
    <x v="0"/>
    <x v="4"/>
    <x v="6"/>
    <x v="537"/>
    <x v="0"/>
    <x v="7"/>
    <x v="0"/>
    <n v="21280"/>
  </r>
  <r>
    <s v="CSKU02634_3EK"/>
    <x v="1"/>
    <x v="0"/>
    <x v="0"/>
    <x v="0"/>
    <x v="4"/>
    <x v="1"/>
    <x v="537"/>
    <x v="0"/>
    <x v="8"/>
    <x v="0"/>
    <n v="24150"/>
  </r>
  <r>
    <s v="CSKU02635_3EK"/>
    <x v="1"/>
    <x v="0"/>
    <x v="0"/>
    <x v="0"/>
    <x v="1"/>
    <x v="6"/>
    <x v="537"/>
    <x v="0"/>
    <x v="7"/>
    <x v="0"/>
    <n v="22640"/>
  </r>
  <r>
    <s v="CSKU00001_2LT"/>
    <x v="6"/>
    <x v="1"/>
    <x v="0"/>
    <x v="11"/>
    <x v="5"/>
    <x v="12"/>
    <x v="538"/>
    <x v="0"/>
    <x v="18"/>
    <x v="0"/>
    <n v="10970"/>
  </r>
  <r>
    <s v="CSKU00002_2LT"/>
    <x v="6"/>
    <x v="1"/>
    <x v="0"/>
    <x v="1"/>
    <x v="5"/>
    <x v="12"/>
    <x v="538"/>
    <x v="0"/>
    <x v="18"/>
    <x v="0"/>
    <n v="11630"/>
  </r>
  <r>
    <s v="CSKU00003_2LT"/>
    <x v="6"/>
    <x v="1"/>
    <x v="0"/>
    <x v="5"/>
    <x v="5"/>
    <x v="12"/>
    <x v="538"/>
    <x v="0"/>
    <x v="18"/>
    <x v="0"/>
    <n v="12520"/>
  </r>
  <r>
    <s v="CSKU00004_2LT"/>
    <x v="6"/>
    <x v="1"/>
    <x v="0"/>
    <x v="12"/>
    <x v="5"/>
    <x v="12"/>
    <x v="538"/>
    <x v="0"/>
    <x v="18"/>
    <x v="0"/>
    <n v="9720"/>
  </r>
  <r>
    <s v="CSKU00013_3LT"/>
    <x v="6"/>
    <x v="0"/>
    <x v="0"/>
    <x v="0"/>
    <x v="5"/>
    <x v="12"/>
    <x v="539"/>
    <x v="0"/>
    <x v="19"/>
    <x v="0"/>
    <n v="14520"/>
  </r>
  <r>
    <s v="CSKU00403_2EK"/>
    <x v="1"/>
    <x v="1"/>
    <x v="1"/>
    <x v="5"/>
    <x v="1"/>
    <x v="1"/>
    <x v="40"/>
    <x v="1"/>
    <x v="6"/>
    <x v="0"/>
    <n v="28760"/>
  </r>
  <r>
    <s v="CSKU00404_2EK"/>
    <x v="1"/>
    <x v="1"/>
    <x v="1"/>
    <x v="4"/>
    <x v="4"/>
    <x v="6"/>
    <x v="40"/>
    <x v="1"/>
    <x v="5"/>
    <x v="0"/>
    <n v="26180"/>
  </r>
  <r>
    <s v="CSKU00405_2EK"/>
    <x v="1"/>
    <x v="1"/>
    <x v="1"/>
    <x v="4"/>
    <x v="4"/>
    <x v="1"/>
    <x v="40"/>
    <x v="1"/>
    <x v="6"/>
    <x v="0"/>
    <n v="28890"/>
  </r>
  <r>
    <s v="CSKU00406_2EK"/>
    <x v="1"/>
    <x v="1"/>
    <x v="1"/>
    <x v="4"/>
    <x v="1"/>
    <x v="6"/>
    <x v="40"/>
    <x v="1"/>
    <x v="5"/>
    <x v="0"/>
    <n v="27800"/>
  </r>
  <r>
    <s v="CSKU00407_2EK"/>
    <x v="1"/>
    <x v="1"/>
    <x v="1"/>
    <x v="4"/>
    <x v="1"/>
    <x v="1"/>
    <x v="40"/>
    <x v="1"/>
    <x v="6"/>
    <x v="0"/>
    <n v="31430"/>
  </r>
  <r>
    <s v="CSKU00585_2EK"/>
    <x v="1"/>
    <x v="1"/>
    <x v="1"/>
    <x v="4"/>
    <x v="4"/>
    <x v="1"/>
    <x v="38"/>
    <x v="1"/>
    <x v="6"/>
    <x v="0"/>
    <n v="28890"/>
  </r>
  <r>
    <s v="CSKU00586_2EK"/>
    <x v="1"/>
    <x v="1"/>
    <x v="1"/>
    <x v="4"/>
    <x v="1"/>
    <x v="6"/>
    <x v="38"/>
    <x v="1"/>
    <x v="5"/>
    <x v="0"/>
    <n v="27800"/>
  </r>
  <r>
    <s v="CSKU00587_2EK"/>
    <x v="1"/>
    <x v="1"/>
    <x v="1"/>
    <x v="4"/>
    <x v="1"/>
    <x v="1"/>
    <x v="38"/>
    <x v="1"/>
    <x v="6"/>
    <x v="0"/>
    <n v="31430"/>
  </r>
  <r>
    <s v="CSKU00944_2EK"/>
    <x v="1"/>
    <x v="1"/>
    <x v="1"/>
    <x v="4"/>
    <x v="4"/>
    <x v="6"/>
    <x v="36"/>
    <x v="1"/>
    <x v="5"/>
    <x v="0"/>
    <n v="26180"/>
  </r>
  <r>
    <s v="CSKU00945_2EK"/>
    <x v="1"/>
    <x v="1"/>
    <x v="1"/>
    <x v="4"/>
    <x v="4"/>
    <x v="1"/>
    <x v="36"/>
    <x v="1"/>
    <x v="6"/>
    <x v="0"/>
    <n v="28890"/>
  </r>
  <r>
    <s v="CSKU00946_2EK"/>
    <x v="1"/>
    <x v="1"/>
    <x v="1"/>
    <x v="4"/>
    <x v="1"/>
    <x v="6"/>
    <x v="36"/>
    <x v="1"/>
    <x v="5"/>
    <x v="0"/>
    <n v="27800"/>
  </r>
  <r>
    <s v="CSKU00947_2EK"/>
    <x v="1"/>
    <x v="1"/>
    <x v="1"/>
    <x v="4"/>
    <x v="1"/>
    <x v="1"/>
    <x v="36"/>
    <x v="1"/>
    <x v="6"/>
    <x v="0"/>
    <n v="31430"/>
  </r>
  <r>
    <m/>
    <x v="1"/>
    <x v="0"/>
    <x v="0"/>
    <x v="0"/>
    <x v="1"/>
    <x v="6"/>
    <x v="58"/>
    <x v="0"/>
    <x v="3"/>
    <x v="0"/>
    <n v="21590"/>
  </r>
  <r>
    <m/>
    <x v="1"/>
    <x v="0"/>
    <x v="0"/>
    <x v="0"/>
    <x v="1"/>
    <x v="6"/>
    <x v="5"/>
    <x v="0"/>
    <x v="3"/>
    <x v="0"/>
    <n v="22640"/>
  </r>
  <r>
    <m/>
    <x v="1"/>
    <x v="0"/>
    <x v="0"/>
    <x v="0"/>
    <x v="1"/>
    <x v="1"/>
    <x v="56"/>
    <x v="0"/>
    <x v="4"/>
    <x v="0"/>
    <n v="28510"/>
  </r>
  <r>
    <m/>
    <x v="1"/>
    <x v="0"/>
    <x v="0"/>
    <x v="0"/>
    <x v="1"/>
    <x v="1"/>
    <x v="57"/>
    <x v="0"/>
    <x v="4"/>
    <x v="0"/>
    <n v="27460"/>
  </r>
  <r>
    <m/>
    <x v="1"/>
    <x v="0"/>
    <x v="0"/>
    <x v="0"/>
    <x v="1"/>
    <x v="1"/>
    <x v="58"/>
    <x v="0"/>
    <x v="4"/>
    <x v="0"/>
    <n v="25360"/>
  </r>
  <r>
    <m/>
    <x v="1"/>
    <x v="0"/>
    <x v="0"/>
    <x v="0"/>
    <x v="1"/>
    <x v="1"/>
    <x v="5"/>
    <x v="0"/>
    <x v="4"/>
    <x v="0"/>
    <n v="26410"/>
  </r>
  <r>
    <m/>
    <x v="1"/>
    <x v="0"/>
    <x v="0"/>
    <x v="6"/>
    <x v="4"/>
    <x v="6"/>
    <x v="56"/>
    <x v="0"/>
    <x v="3"/>
    <x v="0"/>
    <n v="26080"/>
  </r>
  <r>
    <m/>
    <x v="1"/>
    <x v="0"/>
    <x v="0"/>
    <x v="6"/>
    <x v="4"/>
    <x v="6"/>
    <x v="57"/>
    <x v="0"/>
    <x v="3"/>
    <x v="0"/>
    <n v="25330"/>
  </r>
  <r>
    <m/>
    <x v="1"/>
    <x v="0"/>
    <x v="0"/>
    <x v="6"/>
    <x v="4"/>
    <x v="6"/>
    <x v="58"/>
    <x v="0"/>
    <x v="3"/>
    <x v="0"/>
    <n v="23830"/>
  </r>
  <r>
    <m/>
    <x v="1"/>
    <x v="0"/>
    <x v="0"/>
    <x v="6"/>
    <x v="4"/>
    <x v="6"/>
    <x v="5"/>
    <x v="0"/>
    <x v="3"/>
    <x v="0"/>
    <n v="24580"/>
  </r>
  <r>
    <m/>
    <x v="1"/>
    <x v="0"/>
    <x v="0"/>
    <x v="6"/>
    <x v="4"/>
    <x v="1"/>
    <x v="56"/>
    <x v="0"/>
    <x v="4"/>
    <x v="0"/>
    <n v="28950"/>
  </r>
  <r>
    <m/>
    <x v="1"/>
    <x v="0"/>
    <x v="0"/>
    <x v="6"/>
    <x v="4"/>
    <x v="1"/>
    <x v="57"/>
    <x v="0"/>
    <x v="4"/>
    <x v="0"/>
    <n v="28200"/>
  </r>
  <r>
    <m/>
    <x v="1"/>
    <x v="0"/>
    <x v="0"/>
    <x v="2"/>
    <x v="2"/>
    <x v="5"/>
    <x v="51"/>
    <x v="0"/>
    <x v="3"/>
    <x v="0"/>
    <n v="29550"/>
  </r>
  <r>
    <m/>
    <x v="1"/>
    <x v="0"/>
    <x v="0"/>
    <x v="2"/>
    <x v="2"/>
    <x v="5"/>
    <x v="52"/>
    <x v="0"/>
    <x v="3"/>
    <x v="0"/>
    <n v="29550"/>
  </r>
  <r>
    <m/>
    <x v="1"/>
    <x v="0"/>
    <x v="0"/>
    <x v="2"/>
    <x v="2"/>
    <x v="5"/>
    <x v="53"/>
    <x v="0"/>
    <x v="3"/>
    <x v="0"/>
    <n v="29550"/>
  </r>
  <r>
    <m/>
    <x v="1"/>
    <x v="0"/>
    <x v="0"/>
    <x v="2"/>
    <x v="2"/>
    <x v="5"/>
    <x v="54"/>
    <x v="0"/>
    <x v="3"/>
    <x v="0"/>
    <n v="29550"/>
  </r>
  <r>
    <m/>
    <x v="1"/>
    <x v="0"/>
    <x v="0"/>
    <x v="2"/>
    <x v="2"/>
    <x v="5"/>
    <x v="55"/>
    <x v="0"/>
    <x v="3"/>
    <x v="0"/>
    <n v="29550"/>
  </r>
  <r>
    <m/>
    <x v="1"/>
    <x v="0"/>
    <x v="0"/>
    <x v="2"/>
    <x v="2"/>
    <x v="5"/>
    <x v="59"/>
    <x v="0"/>
    <x v="3"/>
    <x v="0"/>
    <n v="29550"/>
  </r>
  <r>
    <m/>
    <x v="1"/>
    <x v="0"/>
    <x v="0"/>
    <x v="2"/>
    <x v="2"/>
    <x v="5"/>
    <x v="60"/>
    <x v="0"/>
    <x v="3"/>
    <x v="0"/>
    <n v="29550"/>
  </r>
  <r>
    <m/>
    <x v="1"/>
    <x v="0"/>
    <x v="0"/>
    <x v="2"/>
    <x v="2"/>
    <x v="5"/>
    <x v="61"/>
    <x v="0"/>
    <x v="3"/>
    <x v="0"/>
    <n v="29550"/>
  </r>
  <r>
    <m/>
    <x v="1"/>
    <x v="0"/>
    <x v="0"/>
    <x v="2"/>
    <x v="2"/>
    <x v="5"/>
    <x v="62"/>
    <x v="0"/>
    <x v="3"/>
    <x v="0"/>
    <n v="29550"/>
  </r>
  <r>
    <m/>
    <x v="1"/>
    <x v="0"/>
    <x v="0"/>
    <x v="2"/>
    <x v="2"/>
    <x v="5"/>
    <x v="43"/>
    <x v="0"/>
    <x v="3"/>
    <x v="0"/>
    <n v="29550"/>
  </r>
  <r>
    <m/>
    <x v="1"/>
    <x v="0"/>
    <x v="0"/>
    <x v="2"/>
    <x v="2"/>
    <x v="5"/>
    <x v="4"/>
    <x v="0"/>
    <x v="3"/>
    <x v="0"/>
    <n v="29550"/>
  </r>
  <r>
    <m/>
    <x v="1"/>
    <x v="0"/>
    <x v="0"/>
    <x v="2"/>
    <x v="2"/>
    <x v="5"/>
    <x v="44"/>
    <x v="0"/>
    <x v="3"/>
    <x v="0"/>
    <n v="29550"/>
  </r>
  <r>
    <m/>
    <x v="1"/>
    <x v="0"/>
    <x v="0"/>
    <x v="2"/>
    <x v="2"/>
    <x v="5"/>
    <x v="45"/>
    <x v="0"/>
    <x v="3"/>
    <x v="0"/>
    <n v="29550"/>
  </r>
  <r>
    <m/>
    <x v="1"/>
    <x v="0"/>
    <x v="0"/>
    <x v="2"/>
    <x v="2"/>
    <x v="5"/>
    <x v="6"/>
    <x v="0"/>
    <x v="3"/>
    <x v="0"/>
    <n v="29550"/>
  </r>
  <r>
    <m/>
    <x v="1"/>
    <x v="0"/>
    <x v="0"/>
    <x v="2"/>
    <x v="3"/>
    <x v="4"/>
    <x v="50"/>
    <x v="0"/>
    <x v="4"/>
    <x v="0"/>
    <n v="38730"/>
  </r>
  <r>
    <m/>
    <x v="1"/>
    <x v="0"/>
    <x v="0"/>
    <x v="2"/>
    <x v="3"/>
    <x v="4"/>
    <x v="51"/>
    <x v="0"/>
    <x v="4"/>
    <x v="0"/>
    <n v="38730"/>
  </r>
  <r>
    <m/>
    <x v="1"/>
    <x v="0"/>
    <x v="0"/>
    <x v="2"/>
    <x v="3"/>
    <x v="4"/>
    <x v="52"/>
    <x v="0"/>
    <x v="4"/>
    <x v="0"/>
    <n v="38730"/>
  </r>
  <r>
    <m/>
    <x v="1"/>
    <x v="0"/>
    <x v="0"/>
    <x v="2"/>
    <x v="3"/>
    <x v="4"/>
    <x v="53"/>
    <x v="0"/>
    <x v="4"/>
    <x v="0"/>
    <n v="38730"/>
  </r>
  <r>
    <m/>
    <x v="1"/>
    <x v="0"/>
    <x v="0"/>
    <x v="2"/>
    <x v="3"/>
    <x v="4"/>
    <x v="54"/>
    <x v="0"/>
    <x v="4"/>
    <x v="0"/>
    <n v="38730"/>
  </r>
  <r>
    <m/>
    <x v="1"/>
    <x v="0"/>
    <x v="0"/>
    <x v="2"/>
    <x v="3"/>
    <x v="4"/>
    <x v="55"/>
    <x v="0"/>
    <x v="4"/>
    <x v="0"/>
    <n v="38730"/>
  </r>
  <r>
    <m/>
    <x v="1"/>
    <x v="0"/>
    <x v="0"/>
    <x v="2"/>
    <x v="3"/>
    <x v="4"/>
    <x v="59"/>
    <x v="0"/>
    <x v="4"/>
    <x v="0"/>
    <n v="38730"/>
  </r>
  <r>
    <m/>
    <x v="1"/>
    <x v="0"/>
    <x v="0"/>
    <x v="2"/>
    <x v="3"/>
    <x v="4"/>
    <x v="60"/>
    <x v="0"/>
    <x v="4"/>
    <x v="0"/>
    <n v="38730"/>
  </r>
  <r>
    <m/>
    <x v="1"/>
    <x v="0"/>
    <x v="0"/>
    <x v="2"/>
    <x v="3"/>
    <x v="4"/>
    <x v="61"/>
    <x v="0"/>
    <x v="4"/>
    <x v="0"/>
    <n v="38730"/>
  </r>
  <r>
    <m/>
    <x v="1"/>
    <x v="0"/>
    <x v="0"/>
    <x v="2"/>
    <x v="3"/>
    <x v="4"/>
    <x v="62"/>
    <x v="0"/>
    <x v="4"/>
    <x v="0"/>
    <n v="38730"/>
  </r>
  <r>
    <m/>
    <x v="1"/>
    <x v="0"/>
    <x v="0"/>
    <x v="2"/>
    <x v="3"/>
    <x v="4"/>
    <x v="43"/>
    <x v="0"/>
    <x v="4"/>
    <x v="0"/>
    <n v="38730"/>
  </r>
  <r>
    <m/>
    <x v="1"/>
    <x v="0"/>
    <x v="0"/>
    <x v="2"/>
    <x v="3"/>
    <x v="4"/>
    <x v="4"/>
    <x v="0"/>
    <x v="4"/>
    <x v="0"/>
    <n v="38730"/>
  </r>
  <r>
    <m/>
    <x v="1"/>
    <x v="0"/>
    <x v="0"/>
    <x v="2"/>
    <x v="3"/>
    <x v="4"/>
    <x v="44"/>
    <x v="0"/>
    <x v="4"/>
    <x v="0"/>
    <n v="38730"/>
  </r>
  <r>
    <m/>
    <x v="1"/>
    <x v="0"/>
    <x v="1"/>
    <x v="3"/>
    <x v="2"/>
    <x v="8"/>
    <x v="47"/>
    <x v="1"/>
    <x v="3"/>
    <x v="0"/>
    <n v="38870"/>
  </r>
  <r>
    <m/>
    <x v="1"/>
    <x v="0"/>
    <x v="1"/>
    <x v="3"/>
    <x v="3"/>
    <x v="5"/>
    <x v="48"/>
    <x v="1"/>
    <x v="4"/>
    <x v="0"/>
    <n v="32250"/>
  </r>
  <r>
    <m/>
    <x v="1"/>
    <x v="0"/>
    <x v="1"/>
    <x v="3"/>
    <x v="3"/>
    <x v="5"/>
    <x v="49"/>
    <x v="1"/>
    <x v="4"/>
    <x v="0"/>
    <n v="32250"/>
  </r>
  <r>
    <m/>
    <x v="1"/>
    <x v="0"/>
    <x v="1"/>
    <x v="3"/>
    <x v="3"/>
    <x v="5"/>
    <x v="50"/>
    <x v="1"/>
    <x v="4"/>
    <x v="0"/>
    <n v="32250"/>
  </r>
  <r>
    <m/>
    <x v="1"/>
    <x v="0"/>
    <x v="1"/>
    <x v="3"/>
    <x v="3"/>
    <x v="5"/>
    <x v="51"/>
    <x v="1"/>
    <x v="4"/>
    <x v="0"/>
    <n v="32250"/>
  </r>
  <r>
    <m/>
    <x v="1"/>
    <x v="0"/>
    <x v="1"/>
    <x v="3"/>
    <x v="3"/>
    <x v="5"/>
    <x v="52"/>
    <x v="1"/>
    <x v="4"/>
    <x v="0"/>
    <n v="32250"/>
  </r>
  <r>
    <m/>
    <x v="1"/>
    <x v="0"/>
    <x v="1"/>
    <x v="3"/>
    <x v="3"/>
    <x v="5"/>
    <x v="53"/>
    <x v="1"/>
    <x v="4"/>
    <x v="0"/>
    <n v="32250"/>
  </r>
  <r>
    <m/>
    <x v="1"/>
    <x v="0"/>
    <x v="1"/>
    <x v="3"/>
    <x v="3"/>
    <x v="5"/>
    <x v="54"/>
    <x v="1"/>
    <x v="4"/>
    <x v="0"/>
    <n v="32250"/>
  </r>
  <r>
    <m/>
    <x v="1"/>
    <x v="0"/>
    <x v="1"/>
    <x v="3"/>
    <x v="3"/>
    <x v="5"/>
    <x v="55"/>
    <x v="1"/>
    <x v="4"/>
    <x v="0"/>
    <n v="32250"/>
  </r>
  <r>
    <m/>
    <x v="1"/>
    <x v="0"/>
    <x v="1"/>
    <x v="3"/>
    <x v="3"/>
    <x v="5"/>
    <x v="59"/>
    <x v="1"/>
    <x v="4"/>
    <x v="0"/>
    <n v="32250"/>
  </r>
  <r>
    <m/>
    <x v="1"/>
    <x v="0"/>
    <x v="1"/>
    <x v="3"/>
    <x v="3"/>
    <x v="5"/>
    <x v="60"/>
    <x v="1"/>
    <x v="4"/>
    <x v="0"/>
    <n v="32250"/>
  </r>
  <r>
    <m/>
    <x v="1"/>
    <x v="0"/>
    <x v="1"/>
    <x v="3"/>
    <x v="3"/>
    <x v="5"/>
    <x v="61"/>
    <x v="1"/>
    <x v="4"/>
    <x v="0"/>
    <n v="32250"/>
  </r>
  <r>
    <m/>
    <x v="1"/>
    <x v="0"/>
    <x v="1"/>
    <x v="3"/>
    <x v="3"/>
    <x v="5"/>
    <x v="62"/>
    <x v="1"/>
    <x v="4"/>
    <x v="0"/>
    <n v="32250"/>
  </r>
  <r>
    <m/>
    <x v="1"/>
    <x v="0"/>
    <x v="1"/>
    <x v="2"/>
    <x v="3"/>
    <x v="4"/>
    <x v="62"/>
    <x v="1"/>
    <x v="4"/>
    <x v="0"/>
    <n v="40630"/>
  </r>
  <r>
    <m/>
    <x v="1"/>
    <x v="0"/>
    <x v="1"/>
    <x v="2"/>
    <x v="3"/>
    <x v="4"/>
    <x v="43"/>
    <x v="1"/>
    <x v="4"/>
    <x v="0"/>
    <n v="40630"/>
  </r>
  <r>
    <m/>
    <x v="1"/>
    <x v="0"/>
    <x v="1"/>
    <x v="2"/>
    <x v="3"/>
    <x v="4"/>
    <x v="4"/>
    <x v="1"/>
    <x v="4"/>
    <x v="0"/>
    <n v="40630"/>
  </r>
  <r>
    <m/>
    <x v="1"/>
    <x v="0"/>
    <x v="1"/>
    <x v="2"/>
    <x v="3"/>
    <x v="4"/>
    <x v="44"/>
    <x v="1"/>
    <x v="4"/>
    <x v="0"/>
    <n v="40630"/>
  </r>
  <r>
    <m/>
    <x v="1"/>
    <x v="0"/>
    <x v="1"/>
    <x v="2"/>
    <x v="3"/>
    <x v="4"/>
    <x v="45"/>
    <x v="1"/>
    <x v="4"/>
    <x v="0"/>
    <n v="40630"/>
  </r>
  <r>
    <m/>
    <x v="1"/>
    <x v="0"/>
    <x v="1"/>
    <x v="2"/>
    <x v="3"/>
    <x v="4"/>
    <x v="6"/>
    <x v="1"/>
    <x v="4"/>
    <x v="0"/>
    <n v="40630"/>
  </r>
  <r>
    <m/>
    <x v="1"/>
    <x v="0"/>
    <x v="1"/>
    <x v="2"/>
    <x v="3"/>
    <x v="4"/>
    <x v="46"/>
    <x v="1"/>
    <x v="4"/>
    <x v="0"/>
    <n v="40630"/>
  </r>
  <r>
    <m/>
    <x v="1"/>
    <x v="0"/>
    <x v="1"/>
    <x v="2"/>
    <x v="3"/>
    <x v="4"/>
    <x v="47"/>
    <x v="1"/>
    <x v="4"/>
    <x v="0"/>
    <n v="40630"/>
  </r>
  <r>
    <m/>
    <x v="1"/>
    <x v="0"/>
    <x v="1"/>
    <x v="2"/>
    <x v="3"/>
    <x v="8"/>
    <x v="48"/>
    <x v="1"/>
    <x v="4"/>
    <x v="0"/>
    <n v="46040"/>
  </r>
  <r>
    <m/>
    <x v="1"/>
    <x v="0"/>
    <x v="1"/>
    <x v="2"/>
    <x v="3"/>
    <x v="8"/>
    <x v="49"/>
    <x v="1"/>
    <x v="4"/>
    <x v="0"/>
    <n v="46040"/>
  </r>
  <r>
    <m/>
    <x v="1"/>
    <x v="0"/>
    <x v="1"/>
    <x v="2"/>
    <x v="3"/>
    <x v="8"/>
    <x v="50"/>
    <x v="1"/>
    <x v="4"/>
    <x v="0"/>
    <n v="46040"/>
  </r>
  <r>
    <m/>
    <x v="1"/>
    <x v="0"/>
    <x v="1"/>
    <x v="2"/>
    <x v="3"/>
    <x v="8"/>
    <x v="51"/>
    <x v="1"/>
    <x v="4"/>
    <x v="0"/>
    <n v="46040"/>
  </r>
  <r>
    <m/>
    <x v="1"/>
    <x v="0"/>
    <x v="1"/>
    <x v="2"/>
    <x v="3"/>
    <x v="8"/>
    <x v="52"/>
    <x v="1"/>
    <x v="4"/>
    <x v="0"/>
    <n v="46040"/>
  </r>
  <r>
    <m/>
    <x v="1"/>
    <x v="0"/>
    <x v="1"/>
    <x v="2"/>
    <x v="3"/>
    <x v="8"/>
    <x v="53"/>
    <x v="1"/>
    <x v="4"/>
    <x v="0"/>
    <n v="46040"/>
  </r>
  <r>
    <m/>
    <x v="1"/>
    <x v="1"/>
    <x v="0"/>
    <x v="3"/>
    <x v="2"/>
    <x v="9"/>
    <x v="74"/>
    <x v="0"/>
    <x v="2"/>
    <x v="0"/>
    <n v="25020"/>
  </r>
  <r>
    <m/>
    <x v="1"/>
    <x v="1"/>
    <x v="0"/>
    <x v="3"/>
    <x v="2"/>
    <x v="9"/>
    <x v="75"/>
    <x v="0"/>
    <x v="2"/>
    <x v="0"/>
    <n v="25020"/>
  </r>
  <r>
    <m/>
    <x v="1"/>
    <x v="1"/>
    <x v="0"/>
    <x v="3"/>
    <x v="2"/>
    <x v="9"/>
    <x v="76"/>
    <x v="0"/>
    <x v="2"/>
    <x v="0"/>
    <n v="25020"/>
  </r>
  <r>
    <m/>
    <x v="1"/>
    <x v="1"/>
    <x v="0"/>
    <x v="3"/>
    <x v="2"/>
    <x v="9"/>
    <x v="77"/>
    <x v="0"/>
    <x v="2"/>
    <x v="0"/>
    <n v="25020"/>
  </r>
  <r>
    <m/>
    <x v="1"/>
    <x v="1"/>
    <x v="0"/>
    <x v="3"/>
    <x v="2"/>
    <x v="9"/>
    <x v="78"/>
    <x v="0"/>
    <x v="2"/>
    <x v="0"/>
    <n v="25020"/>
  </r>
  <r>
    <m/>
    <x v="1"/>
    <x v="1"/>
    <x v="0"/>
    <x v="3"/>
    <x v="2"/>
    <x v="9"/>
    <x v="79"/>
    <x v="0"/>
    <x v="2"/>
    <x v="0"/>
    <n v="25020"/>
  </r>
  <r>
    <m/>
    <x v="1"/>
    <x v="1"/>
    <x v="0"/>
    <x v="3"/>
    <x v="3"/>
    <x v="2"/>
    <x v="3"/>
    <x v="0"/>
    <x v="1"/>
    <x v="0"/>
    <n v="21880"/>
  </r>
  <r>
    <m/>
    <x v="1"/>
    <x v="1"/>
    <x v="0"/>
    <x v="3"/>
    <x v="3"/>
    <x v="2"/>
    <x v="2"/>
    <x v="0"/>
    <x v="1"/>
    <x v="0"/>
    <n v="21880"/>
  </r>
  <r>
    <m/>
    <x v="1"/>
    <x v="1"/>
    <x v="0"/>
    <x v="3"/>
    <x v="3"/>
    <x v="2"/>
    <x v="63"/>
    <x v="0"/>
    <x v="1"/>
    <x v="0"/>
    <n v="21880"/>
  </r>
  <r>
    <m/>
    <x v="1"/>
    <x v="1"/>
    <x v="0"/>
    <x v="3"/>
    <x v="3"/>
    <x v="2"/>
    <x v="64"/>
    <x v="0"/>
    <x v="1"/>
    <x v="0"/>
    <n v="21880"/>
  </r>
  <r>
    <m/>
    <x v="1"/>
    <x v="1"/>
    <x v="0"/>
    <x v="3"/>
    <x v="3"/>
    <x v="2"/>
    <x v="65"/>
    <x v="0"/>
    <x v="1"/>
    <x v="0"/>
    <n v="21880"/>
  </r>
  <r>
    <m/>
    <x v="1"/>
    <x v="1"/>
    <x v="0"/>
    <x v="3"/>
    <x v="3"/>
    <x v="2"/>
    <x v="66"/>
    <x v="0"/>
    <x v="1"/>
    <x v="0"/>
    <n v="21880"/>
  </r>
  <r>
    <m/>
    <x v="1"/>
    <x v="1"/>
    <x v="0"/>
    <x v="3"/>
    <x v="3"/>
    <x v="2"/>
    <x v="67"/>
    <x v="0"/>
    <x v="1"/>
    <x v="0"/>
    <n v="21880"/>
  </r>
  <r>
    <m/>
    <x v="1"/>
    <x v="1"/>
    <x v="0"/>
    <x v="3"/>
    <x v="3"/>
    <x v="2"/>
    <x v="68"/>
    <x v="0"/>
    <x v="1"/>
    <x v="0"/>
    <n v="21880"/>
  </r>
  <r>
    <m/>
    <x v="1"/>
    <x v="1"/>
    <x v="0"/>
    <x v="3"/>
    <x v="3"/>
    <x v="2"/>
    <x v="69"/>
    <x v="0"/>
    <x v="1"/>
    <x v="0"/>
    <n v="21880"/>
  </r>
  <r>
    <m/>
    <x v="1"/>
    <x v="1"/>
    <x v="1"/>
    <x v="1"/>
    <x v="4"/>
    <x v="6"/>
    <x v="1"/>
    <x v="1"/>
    <x v="2"/>
    <x v="0"/>
    <n v="16660"/>
  </r>
  <r>
    <m/>
    <x v="1"/>
    <x v="1"/>
    <x v="1"/>
    <x v="1"/>
    <x v="4"/>
    <x v="6"/>
    <x v="93"/>
    <x v="1"/>
    <x v="2"/>
    <x v="0"/>
    <n v="17180"/>
  </r>
  <r>
    <m/>
    <x v="1"/>
    <x v="1"/>
    <x v="1"/>
    <x v="1"/>
    <x v="4"/>
    <x v="1"/>
    <x v="94"/>
    <x v="1"/>
    <x v="1"/>
    <x v="0"/>
    <n v="19980"/>
  </r>
  <r>
    <m/>
    <x v="1"/>
    <x v="1"/>
    <x v="1"/>
    <x v="1"/>
    <x v="4"/>
    <x v="1"/>
    <x v="1"/>
    <x v="1"/>
    <x v="1"/>
    <x v="0"/>
    <n v="18940"/>
  </r>
  <r>
    <m/>
    <x v="1"/>
    <x v="1"/>
    <x v="1"/>
    <x v="1"/>
    <x v="4"/>
    <x v="1"/>
    <x v="93"/>
    <x v="1"/>
    <x v="1"/>
    <x v="0"/>
    <n v="19460"/>
  </r>
  <r>
    <m/>
    <x v="1"/>
    <x v="1"/>
    <x v="1"/>
    <x v="1"/>
    <x v="4"/>
    <x v="1"/>
    <x v="540"/>
    <x v="1"/>
    <x v="20"/>
    <x v="0"/>
    <n v="18100"/>
  </r>
  <r>
    <m/>
    <x v="1"/>
    <x v="1"/>
    <x v="1"/>
    <x v="1"/>
    <x v="4"/>
    <x v="1"/>
    <x v="541"/>
    <x v="1"/>
    <x v="20"/>
    <x v="0"/>
    <n v="17060"/>
  </r>
  <r>
    <m/>
    <x v="1"/>
    <x v="1"/>
    <x v="1"/>
    <x v="1"/>
    <x v="4"/>
    <x v="1"/>
    <x v="542"/>
    <x v="1"/>
    <x v="20"/>
    <x v="0"/>
    <n v="17580"/>
  </r>
  <r>
    <m/>
    <x v="1"/>
    <x v="1"/>
    <x v="1"/>
    <x v="1"/>
    <x v="1"/>
    <x v="6"/>
    <x v="94"/>
    <x v="1"/>
    <x v="2"/>
    <x v="0"/>
    <n v="19260"/>
  </r>
  <r>
    <m/>
    <x v="1"/>
    <x v="1"/>
    <x v="1"/>
    <x v="1"/>
    <x v="1"/>
    <x v="6"/>
    <x v="1"/>
    <x v="1"/>
    <x v="2"/>
    <x v="0"/>
    <n v="18000"/>
  </r>
  <r>
    <m/>
    <x v="1"/>
    <x v="1"/>
    <x v="1"/>
    <x v="1"/>
    <x v="1"/>
    <x v="6"/>
    <x v="93"/>
    <x v="1"/>
    <x v="2"/>
    <x v="0"/>
    <n v="18630"/>
  </r>
  <r>
    <m/>
    <x v="1"/>
    <x v="1"/>
    <x v="1"/>
    <x v="1"/>
    <x v="1"/>
    <x v="1"/>
    <x v="94"/>
    <x v="1"/>
    <x v="1"/>
    <x v="0"/>
    <n v="21880"/>
  </r>
  <r>
    <m/>
    <x v="1"/>
    <x v="1"/>
    <x v="1"/>
    <x v="1"/>
    <x v="1"/>
    <x v="1"/>
    <x v="1"/>
    <x v="1"/>
    <x v="1"/>
    <x v="0"/>
    <n v="20620"/>
  </r>
  <r>
    <m/>
    <x v="1"/>
    <x v="1"/>
    <x v="1"/>
    <x v="1"/>
    <x v="1"/>
    <x v="1"/>
    <x v="93"/>
    <x v="1"/>
    <x v="1"/>
    <x v="0"/>
    <n v="21250"/>
  </r>
  <r>
    <m/>
    <x v="1"/>
    <x v="1"/>
    <x v="1"/>
    <x v="3"/>
    <x v="2"/>
    <x v="2"/>
    <x v="70"/>
    <x v="1"/>
    <x v="2"/>
    <x v="0"/>
    <n v="20860"/>
  </r>
  <r>
    <m/>
    <x v="1"/>
    <x v="1"/>
    <x v="1"/>
    <x v="3"/>
    <x v="2"/>
    <x v="2"/>
    <x v="71"/>
    <x v="1"/>
    <x v="2"/>
    <x v="0"/>
    <n v="20860"/>
  </r>
  <r>
    <m/>
    <x v="1"/>
    <x v="1"/>
    <x v="1"/>
    <x v="3"/>
    <x v="2"/>
    <x v="2"/>
    <x v="72"/>
    <x v="1"/>
    <x v="2"/>
    <x v="0"/>
    <n v="20860"/>
  </r>
  <r>
    <m/>
    <x v="1"/>
    <x v="1"/>
    <x v="1"/>
    <x v="3"/>
    <x v="2"/>
    <x v="2"/>
    <x v="73"/>
    <x v="1"/>
    <x v="2"/>
    <x v="0"/>
    <n v="20860"/>
  </r>
  <r>
    <m/>
    <x v="1"/>
    <x v="1"/>
    <x v="1"/>
    <x v="3"/>
    <x v="2"/>
    <x v="2"/>
    <x v="74"/>
    <x v="1"/>
    <x v="2"/>
    <x v="0"/>
    <n v="20860"/>
  </r>
  <r>
    <m/>
    <x v="1"/>
    <x v="1"/>
    <x v="1"/>
    <x v="3"/>
    <x v="2"/>
    <x v="2"/>
    <x v="75"/>
    <x v="1"/>
    <x v="2"/>
    <x v="0"/>
    <n v="20860"/>
  </r>
  <r>
    <m/>
    <x v="1"/>
    <x v="1"/>
    <x v="1"/>
    <x v="3"/>
    <x v="2"/>
    <x v="2"/>
    <x v="76"/>
    <x v="1"/>
    <x v="2"/>
    <x v="0"/>
    <n v="20860"/>
  </r>
  <r>
    <m/>
    <x v="1"/>
    <x v="1"/>
    <x v="1"/>
    <x v="3"/>
    <x v="2"/>
    <x v="2"/>
    <x v="77"/>
    <x v="1"/>
    <x v="2"/>
    <x v="0"/>
    <n v="20860"/>
  </r>
  <r>
    <m/>
    <x v="1"/>
    <x v="1"/>
    <x v="1"/>
    <x v="3"/>
    <x v="2"/>
    <x v="2"/>
    <x v="78"/>
    <x v="1"/>
    <x v="2"/>
    <x v="0"/>
    <n v="20860"/>
  </r>
  <r>
    <m/>
    <x v="1"/>
    <x v="1"/>
    <x v="1"/>
    <x v="3"/>
    <x v="2"/>
    <x v="2"/>
    <x v="79"/>
    <x v="1"/>
    <x v="2"/>
    <x v="0"/>
    <n v="20860"/>
  </r>
  <r>
    <m/>
    <x v="1"/>
    <x v="1"/>
    <x v="1"/>
    <x v="3"/>
    <x v="2"/>
    <x v="3"/>
    <x v="3"/>
    <x v="1"/>
    <x v="2"/>
    <x v="0"/>
    <n v="23870"/>
  </r>
  <r>
    <m/>
    <x v="1"/>
    <x v="1"/>
    <x v="1"/>
    <x v="3"/>
    <x v="2"/>
    <x v="3"/>
    <x v="2"/>
    <x v="1"/>
    <x v="2"/>
    <x v="0"/>
    <n v="23870"/>
  </r>
  <r>
    <m/>
    <x v="1"/>
    <x v="1"/>
    <x v="1"/>
    <x v="3"/>
    <x v="2"/>
    <x v="3"/>
    <x v="63"/>
    <x v="1"/>
    <x v="2"/>
    <x v="0"/>
    <n v="23870"/>
  </r>
  <r>
    <m/>
    <x v="1"/>
    <x v="1"/>
    <x v="1"/>
    <x v="3"/>
    <x v="2"/>
    <x v="3"/>
    <x v="64"/>
    <x v="1"/>
    <x v="2"/>
    <x v="0"/>
    <n v="23870"/>
  </r>
  <r>
    <m/>
    <x v="1"/>
    <x v="1"/>
    <x v="1"/>
    <x v="3"/>
    <x v="2"/>
    <x v="3"/>
    <x v="65"/>
    <x v="1"/>
    <x v="2"/>
    <x v="0"/>
    <n v="23870"/>
  </r>
  <r>
    <m/>
    <x v="1"/>
    <x v="1"/>
    <x v="1"/>
    <x v="2"/>
    <x v="3"/>
    <x v="9"/>
    <x v="2"/>
    <x v="1"/>
    <x v="1"/>
    <x v="0"/>
    <n v="31430"/>
  </r>
  <r>
    <m/>
    <x v="1"/>
    <x v="1"/>
    <x v="1"/>
    <x v="2"/>
    <x v="3"/>
    <x v="9"/>
    <x v="63"/>
    <x v="1"/>
    <x v="1"/>
    <x v="0"/>
    <n v="31430"/>
  </r>
  <r>
    <m/>
    <x v="1"/>
    <x v="1"/>
    <x v="1"/>
    <x v="2"/>
    <x v="3"/>
    <x v="9"/>
    <x v="64"/>
    <x v="1"/>
    <x v="1"/>
    <x v="0"/>
    <n v="31430"/>
  </r>
  <r>
    <m/>
    <x v="1"/>
    <x v="1"/>
    <x v="1"/>
    <x v="2"/>
    <x v="3"/>
    <x v="9"/>
    <x v="65"/>
    <x v="1"/>
    <x v="1"/>
    <x v="0"/>
    <n v="31430"/>
  </r>
  <r>
    <m/>
    <x v="1"/>
    <x v="1"/>
    <x v="1"/>
    <x v="2"/>
    <x v="3"/>
    <x v="9"/>
    <x v="66"/>
    <x v="1"/>
    <x v="1"/>
    <x v="0"/>
    <n v="31430"/>
  </r>
  <r>
    <m/>
    <x v="1"/>
    <x v="1"/>
    <x v="1"/>
    <x v="2"/>
    <x v="3"/>
    <x v="9"/>
    <x v="67"/>
    <x v="1"/>
    <x v="1"/>
    <x v="0"/>
    <n v="31430"/>
  </r>
  <r>
    <m/>
    <x v="1"/>
    <x v="1"/>
    <x v="1"/>
    <x v="2"/>
    <x v="3"/>
    <x v="9"/>
    <x v="68"/>
    <x v="1"/>
    <x v="1"/>
    <x v="0"/>
    <n v="31430"/>
  </r>
  <r>
    <m/>
    <x v="1"/>
    <x v="1"/>
    <x v="1"/>
    <x v="2"/>
    <x v="3"/>
    <x v="9"/>
    <x v="69"/>
    <x v="1"/>
    <x v="1"/>
    <x v="0"/>
    <n v="31430"/>
  </r>
  <r>
    <m/>
    <x v="1"/>
    <x v="1"/>
    <x v="1"/>
    <x v="2"/>
    <x v="3"/>
    <x v="9"/>
    <x v="70"/>
    <x v="1"/>
    <x v="1"/>
    <x v="0"/>
    <n v="31430"/>
  </r>
  <r>
    <m/>
    <x v="1"/>
    <x v="1"/>
    <x v="1"/>
    <x v="2"/>
    <x v="3"/>
    <x v="9"/>
    <x v="71"/>
    <x v="1"/>
    <x v="1"/>
    <x v="0"/>
    <n v="31430"/>
  </r>
  <r>
    <m/>
    <x v="1"/>
    <x v="1"/>
    <x v="1"/>
    <x v="2"/>
    <x v="3"/>
    <x v="9"/>
    <x v="72"/>
    <x v="1"/>
    <x v="1"/>
    <x v="0"/>
    <n v="31430"/>
  </r>
  <r>
    <m/>
    <x v="1"/>
    <x v="1"/>
    <x v="1"/>
    <x v="2"/>
    <x v="3"/>
    <x v="9"/>
    <x v="73"/>
    <x v="1"/>
    <x v="1"/>
    <x v="0"/>
    <n v="31430"/>
  </r>
  <r>
    <m/>
    <x v="1"/>
    <x v="1"/>
    <x v="1"/>
    <x v="2"/>
    <x v="3"/>
    <x v="9"/>
    <x v="74"/>
    <x v="1"/>
    <x v="1"/>
    <x v="0"/>
    <n v="31430"/>
  </r>
  <r>
    <m/>
    <x v="1"/>
    <x v="1"/>
    <x v="1"/>
    <x v="2"/>
    <x v="3"/>
    <x v="9"/>
    <x v="75"/>
    <x v="1"/>
    <x v="1"/>
    <x v="0"/>
    <n v="31430"/>
  </r>
  <r>
    <m/>
    <x v="1"/>
    <x v="1"/>
    <x v="1"/>
    <x v="2"/>
    <x v="3"/>
    <x v="9"/>
    <x v="76"/>
    <x v="1"/>
    <x v="1"/>
    <x v="0"/>
    <n v="31430"/>
  </r>
  <r>
    <m/>
    <x v="1"/>
    <x v="1"/>
    <x v="1"/>
    <x v="2"/>
    <x v="3"/>
    <x v="9"/>
    <x v="77"/>
    <x v="1"/>
    <x v="1"/>
    <x v="0"/>
    <n v="31430"/>
  </r>
  <r>
    <m/>
    <x v="1"/>
    <x v="1"/>
    <x v="1"/>
    <x v="2"/>
    <x v="3"/>
    <x v="9"/>
    <x v="78"/>
    <x v="1"/>
    <x v="1"/>
    <x v="0"/>
    <n v="31430"/>
  </r>
  <r>
    <m/>
    <x v="1"/>
    <x v="1"/>
    <x v="1"/>
    <x v="2"/>
    <x v="3"/>
    <x v="9"/>
    <x v="79"/>
    <x v="1"/>
    <x v="1"/>
    <x v="0"/>
    <n v="31430"/>
  </r>
  <r>
    <m/>
    <x v="1"/>
    <x v="1"/>
    <x v="0"/>
    <x v="3"/>
    <x v="3"/>
    <x v="2"/>
    <x v="70"/>
    <x v="0"/>
    <x v="1"/>
    <x v="0"/>
    <n v="21880"/>
  </r>
  <r>
    <m/>
    <x v="1"/>
    <x v="1"/>
    <x v="1"/>
    <x v="5"/>
    <x v="4"/>
    <x v="6"/>
    <x v="94"/>
    <x v="1"/>
    <x v="2"/>
    <x v="0"/>
    <n v="19800"/>
  </r>
  <r>
    <m/>
    <x v="1"/>
    <x v="1"/>
    <x v="1"/>
    <x v="3"/>
    <x v="2"/>
    <x v="3"/>
    <x v="66"/>
    <x v="1"/>
    <x v="2"/>
    <x v="0"/>
    <n v="23870"/>
  </r>
  <r>
    <m/>
    <x v="1"/>
    <x v="0"/>
    <x v="0"/>
    <x v="6"/>
    <x v="4"/>
    <x v="1"/>
    <x v="58"/>
    <x v="0"/>
    <x v="4"/>
    <x v="0"/>
    <n v="26700"/>
  </r>
  <r>
    <m/>
    <x v="1"/>
    <x v="0"/>
    <x v="0"/>
    <x v="2"/>
    <x v="2"/>
    <x v="5"/>
    <x v="46"/>
    <x v="0"/>
    <x v="3"/>
    <x v="0"/>
    <n v="29550"/>
  </r>
  <r>
    <m/>
    <x v="1"/>
    <x v="0"/>
    <x v="0"/>
    <x v="2"/>
    <x v="3"/>
    <x v="4"/>
    <x v="45"/>
    <x v="0"/>
    <x v="4"/>
    <x v="0"/>
    <n v="38730"/>
  </r>
  <r>
    <m/>
    <x v="1"/>
    <x v="0"/>
    <x v="1"/>
    <x v="3"/>
    <x v="3"/>
    <x v="5"/>
    <x v="43"/>
    <x v="1"/>
    <x v="4"/>
    <x v="0"/>
    <n v="32250"/>
  </r>
  <r>
    <m/>
    <x v="1"/>
    <x v="0"/>
    <x v="1"/>
    <x v="2"/>
    <x v="3"/>
    <x v="8"/>
    <x v="54"/>
    <x v="1"/>
    <x v="4"/>
    <x v="0"/>
    <n v="46040"/>
  </r>
  <r>
    <s v="CSKU00014_3LT"/>
    <x v="6"/>
    <x v="0"/>
    <x v="0"/>
    <x v="6"/>
    <x v="5"/>
    <x v="12"/>
    <x v="539"/>
    <x v="0"/>
    <x v="19"/>
    <x v="0"/>
    <n v="15560"/>
  </r>
  <r>
    <s v="CSKU01484_2EK"/>
    <x v="1"/>
    <x v="1"/>
    <x v="1"/>
    <x v="4"/>
    <x v="4"/>
    <x v="6"/>
    <x v="438"/>
    <x v="1"/>
    <x v="5"/>
    <x v="0"/>
    <n v="26180"/>
  </r>
  <r>
    <s v="CSKU02636_3EK"/>
    <x v="1"/>
    <x v="0"/>
    <x v="0"/>
    <x v="0"/>
    <x v="1"/>
    <x v="1"/>
    <x v="537"/>
    <x v="0"/>
    <x v="8"/>
    <x v="0"/>
    <n v="26410"/>
  </r>
  <r>
    <s v="CSKU03535_3EK"/>
    <x v="1"/>
    <x v="0"/>
    <x v="0"/>
    <x v="0"/>
    <x v="1"/>
    <x v="6"/>
    <x v="535"/>
    <x v="0"/>
    <x v="7"/>
    <x v="0"/>
    <n v="29550"/>
  </r>
  <r>
    <s v="CSKU03893_3EK"/>
    <x v="1"/>
    <x v="0"/>
    <x v="0"/>
    <x v="0"/>
    <x v="4"/>
    <x v="6"/>
    <x v="543"/>
    <x v="0"/>
    <x v="7"/>
    <x v="0"/>
    <n v="27730"/>
  </r>
  <r>
    <s v="CSKU04435_3EK"/>
    <x v="1"/>
    <x v="0"/>
    <x v="0"/>
    <x v="0"/>
    <x v="1"/>
    <x v="6"/>
    <x v="536"/>
    <x v="0"/>
    <x v="7"/>
    <x v="0"/>
    <n v="29550"/>
  </r>
  <r>
    <s v="CSKU05226_2ES"/>
    <x v="2"/>
    <x v="1"/>
    <x v="0"/>
    <x v="0"/>
    <x v="4"/>
    <x v="7"/>
    <x v="534"/>
    <x v="0"/>
    <x v="9"/>
    <x v="0"/>
    <n v="57390"/>
  </r>
  <r>
    <s v="CSKU06169_2ES"/>
    <x v="2"/>
    <x v="1"/>
    <x v="1"/>
    <x v="7"/>
    <x v="4"/>
    <x v="7"/>
    <x v="527"/>
    <x v="1"/>
    <x v="9"/>
    <x v="0"/>
    <n v="69340"/>
  </r>
  <r>
    <s v="CSKU06240_2ES"/>
    <x v="2"/>
    <x v="1"/>
    <x v="1"/>
    <x v="0"/>
    <x v="4"/>
    <x v="7"/>
    <x v="528"/>
    <x v="1"/>
    <x v="9"/>
    <x v="0"/>
    <n v="65360"/>
  </r>
  <r>
    <s v="CSKU06308_2ES"/>
    <x v="2"/>
    <x v="1"/>
    <x v="0"/>
    <x v="4"/>
    <x v="1"/>
    <x v="7"/>
    <x v="529"/>
    <x v="0"/>
    <x v="9"/>
    <x v="0"/>
    <n v="67500"/>
  </r>
  <r>
    <s v="CSKU06378_2ES"/>
    <x v="2"/>
    <x v="1"/>
    <x v="0"/>
    <x v="0"/>
    <x v="4"/>
    <x v="7"/>
    <x v="530"/>
    <x v="0"/>
    <x v="9"/>
    <x v="0"/>
    <n v="60670"/>
  </r>
  <r>
    <s v="CSKU06449_2ES"/>
    <x v="2"/>
    <x v="1"/>
    <x v="0"/>
    <x v="4"/>
    <x v="4"/>
    <x v="7"/>
    <x v="544"/>
    <x v="0"/>
    <x v="9"/>
    <x v="0"/>
    <n v="48540"/>
  </r>
  <r>
    <s v="CSKU06781_2ES"/>
    <x v="2"/>
    <x v="1"/>
    <x v="1"/>
    <x v="0"/>
    <x v="4"/>
    <x v="7"/>
    <x v="532"/>
    <x v="1"/>
    <x v="9"/>
    <x v="0"/>
    <n v="72380"/>
  </r>
  <r>
    <s v="CSKU06849_2ES"/>
    <x v="2"/>
    <x v="1"/>
    <x v="0"/>
    <x v="0"/>
    <x v="1"/>
    <x v="7"/>
    <x v="533"/>
    <x v="0"/>
    <x v="9"/>
    <x v="0"/>
    <n v="65970"/>
  </r>
  <r>
    <s v="CSKU07422_2ES"/>
    <x v="2"/>
    <x v="1"/>
    <x v="0"/>
    <x v="0"/>
    <x v="4"/>
    <x v="7"/>
    <x v="524"/>
    <x v="0"/>
    <x v="9"/>
    <x v="0"/>
    <n v="76930"/>
  </r>
  <r>
    <s v="CSKU07501_2ES"/>
    <x v="2"/>
    <x v="1"/>
    <x v="1"/>
    <x v="0"/>
    <x v="4"/>
    <x v="7"/>
    <x v="525"/>
    <x v="1"/>
    <x v="9"/>
    <x v="0"/>
    <n v="70040"/>
  </r>
  <r>
    <s v="CSKU07785_2ES"/>
    <x v="2"/>
    <x v="1"/>
    <x v="0"/>
    <x v="0"/>
    <x v="1"/>
    <x v="7"/>
    <x v="526"/>
    <x v="0"/>
    <x v="9"/>
    <x v="0"/>
    <n v="71030"/>
  </r>
  <r>
    <s v="CSKU08185_2ES"/>
    <x v="2"/>
    <x v="1"/>
    <x v="1"/>
    <x v="0"/>
    <x v="4"/>
    <x v="7"/>
    <x v="531"/>
    <x v="1"/>
    <x v="9"/>
    <x v="0"/>
    <n v="80980"/>
  </r>
  <r>
    <s v="CSKU08545_2ES"/>
    <x v="2"/>
    <x v="1"/>
    <x v="1"/>
    <x v="0"/>
    <x v="4"/>
    <x v="7"/>
    <x v="521"/>
    <x v="1"/>
    <x v="9"/>
    <x v="0"/>
    <n v="62610"/>
  </r>
  <r>
    <s v="CSKU08798_2ES"/>
    <x v="2"/>
    <x v="1"/>
    <x v="1"/>
    <x v="0"/>
    <x v="1"/>
    <x v="7"/>
    <x v="441"/>
    <x v="1"/>
    <x v="9"/>
    <x v="0"/>
    <n v="88640"/>
  </r>
  <r>
    <s v="CSKU08863_2ES"/>
    <x v="2"/>
    <x v="1"/>
    <x v="0"/>
    <x v="7"/>
    <x v="4"/>
    <x v="7"/>
    <x v="522"/>
    <x v="0"/>
    <x v="9"/>
    <x v="0"/>
    <n v="80500"/>
  </r>
  <r>
    <s v="CSKU08971_2ES"/>
    <x v="2"/>
    <x v="1"/>
    <x v="0"/>
    <x v="7"/>
    <x v="4"/>
    <x v="7"/>
    <x v="523"/>
    <x v="0"/>
    <x v="9"/>
    <x v="0"/>
    <n v="76200"/>
  </r>
  <r>
    <s v="CSKU09195_2ES"/>
    <x v="2"/>
    <x v="1"/>
    <x v="1"/>
    <x v="7"/>
    <x v="4"/>
    <x v="7"/>
    <x v="442"/>
    <x v="1"/>
    <x v="9"/>
    <x v="0"/>
    <n v="64250"/>
  </r>
  <r>
    <s v="CSKU09446_2ES"/>
    <x v="2"/>
    <x v="1"/>
    <x v="1"/>
    <x v="4"/>
    <x v="1"/>
    <x v="7"/>
    <x v="518"/>
    <x v="1"/>
    <x v="9"/>
    <x v="0"/>
    <n v="63160"/>
  </r>
  <r>
    <s v="CSKU09547_2ES"/>
    <x v="2"/>
    <x v="1"/>
    <x v="0"/>
    <x v="7"/>
    <x v="4"/>
    <x v="7"/>
    <x v="519"/>
    <x v="0"/>
    <x v="9"/>
    <x v="0"/>
    <n v="80500"/>
  </r>
  <r>
    <s v="CSKU09257_2ES"/>
    <x v="2"/>
    <x v="1"/>
    <x v="0"/>
    <x v="4"/>
    <x v="4"/>
    <x v="7"/>
    <x v="545"/>
    <x v="0"/>
    <x v="9"/>
    <x v="0"/>
    <n v="49010"/>
  </r>
  <r>
    <s v="CSKU09258_2ES"/>
    <x v="2"/>
    <x v="1"/>
    <x v="0"/>
    <x v="0"/>
    <x v="4"/>
    <x v="7"/>
    <x v="545"/>
    <x v="0"/>
    <x v="9"/>
    <x v="0"/>
    <n v="52540"/>
  </r>
  <r>
    <s v="CSKU09259_2ES"/>
    <x v="2"/>
    <x v="1"/>
    <x v="0"/>
    <x v="7"/>
    <x v="4"/>
    <x v="7"/>
    <x v="545"/>
    <x v="0"/>
    <x v="9"/>
    <x v="0"/>
    <n v="56110"/>
  </r>
  <r>
    <s v="CSKU09260_2ES"/>
    <x v="2"/>
    <x v="1"/>
    <x v="0"/>
    <x v="4"/>
    <x v="1"/>
    <x v="7"/>
    <x v="545"/>
    <x v="0"/>
    <x v="9"/>
    <x v="0"/>
    <n v="57740"/>
  </r>
  <r>
    <s v="CSKU09261_2ES"/>
    <x v="2"/>
    <x v="1"/>
    <x v="0"/>
    <x v="0"/>
    <x v="1"/>
    <x v="7"/>
    <x v="545"/>
    <x v="0"/>
    <x v="9"/>
    <x v="0"/>
    <n v="61270"/>
  </r>
  <r>
    <s v="CSKU09447_2ES"/>
    <x v="2"/>
    <x v="1"/>
    <x v="1"/>
    <x v="0"/>
    <x v="1"/>
    <x v="7"/>
    <x v="518"/>
    <x v="1"/>
    <x v="9"/>
    <x v="0"/>
    <n v="67120"/>
  </r>
  <r>
    <s v="CSKU09448_2ES"/>
    <x v="2"/>
    <x v="1"/>
    <x v="1"/>
    <x v="7"/>
    <x v="1"/>
    <x v="7"/>
    <x v="518"/>
    <x v="1"/>
    <x v="9"/>
    <x v="0"/>
    <n v="71100"/>
  </r>
  <r>
    <s v="CSKU09509_2ES"/>
    <x v="2"/>
    <x v="1"/>
    <x v="0"/>
    <x v="4"/>
    <x v="4"/>
    <x v="7"/>
    <x v="517"/>
    <x v="0"/>
    <x v="9"/>
    <x v="0"/>
    <n v="73400"/>
  </r>
  <r>
    <s v="CSKU09510_2ES"/>
    <x v="2"/>
    <x v="1"/>
    <x v="0"/>
    <x v="0"/>
    <x v="4"/>
    <x v="7"/>
    <x v="517"/>
    <x v="0"/>
    <x v="9"/>
    <x v="0"/>
    <n v="76930"/>
  </r>
  <r>
    <s v="CSKU09511_2ES"/>
    <x v="2"/>
    <x v="1"/>
    <x v="0"/>
    <x v="7"/>
    <x v="4"/>
    <x v="7"/>
    <x v="517"/>
    <x v="0"/>
    <x v="9"/>
    <x v="0"/>
    <n v="80500"/>
  </r>
  <r>
    <s v="CSKU09512_2ES"/>
    <x v="2"/>
    <x v="1"/>
    <x v="0"/>
    <x v="4"/>
    <x v="1"/>
    <x v="7"/>
    <x v="517"/>
    <x v="0"/>
    <x v="9"/>
    <x v="0"/>
    <n v="87020"/>
  </r>
  <r>
    <s v="CSKU09513_2ES"/>
    <x v="2"/>
    <x v="1"/>
    <x v="0"/>
    <x v="0"/>
    <x v="1"/>
    <x v="7"/>
    <x v="517"/>
    <x v="0"/>
    <x v="9"/>
    <x v="0"/>
    <n v="90550"/>
  </r>
  <r>
    <s v="CSKU09514_2ES"/>
    <x v="2"/>
    <x v="1"/>
    <x v="0"/>
    <x v="7"/>
    <x v="1"/>
    <x v="7"/>
    <x v="517"/>
    <x v="0"/>
    <x v="9"/>
    <x v="0"/>
    <n v="94100"/>
  </r>
  <r>
    <s v="CSKU09548_2ES"/>
    <x v="2"/>
    <x v="1"/>
    <x v="0"/>
    <x v="4"/>
    <x v="1"/>
    <x v="7"/>
    <x v="519"/>
    <x v="0"/>
    <x v="9"/>
    <x v="0"/>
    <n v="87020"/>
  </r>
  <r>
    <s v="CSKU09549_2ES"/>
    <x v="2"/>
    <x v="1"/>
    <x v="0"/>
    <x v="0"/>
    <x v="1"/>
    <x v="7"/>
    <x v="519"/>
    <x v="0"/>
    <x v="9"/>
    <x v="0"/>
    <n v="90550"/>
  </r>
  <r>
    <s v="CSKU09550_2ES"/>
    <x v="2"/>
    <x v="1"/>
    <x v="0"/>
    <x v="7"/>
    <x v="1"/>
    <x v="7"/>
    <x v="519"/>
    <x v="0"/>
    <x v="9"/>
    <x v="0"/>
    <n v="94100"/>
  </r>
  <r>
    <s v="CSKU09551_2ES"/>
    <x v="2"/>
    <x v="1"/>
    <x v="1"/>
    <x v="4"/>
    <x v="4"/>
    <x v="7"/>
    <x v="519"/>
    <x v="1"/>
    <x v="9"/>
    <x v="0"/>
    <n v="77020"/>
  </r>
  <r>
    <s v="CSKU09552_2ES"/>
    <x v="2"/>
    <x v="1"/>
    <x v="1"/>
    <x v="4"/>
    <x v="1"/>
    <x v="7"/>
    <x v="519"/>
    <x v="1"/>
    <x v="9"/>
    <x v="0"/>
    <n v="91480"/>
  </r>
  <r>
    <s v="CSKU09553_2ES"/>
    <x v="2"/>
    <x v="1"/>
    <x v="1"/>
    <x v="0"/>
    <x v="4"/>
    <x v="7"/>
    <x v="519"/>
    <x v="1"/>
    <x v="9"/>
    <x v="0"/>
    <n v="80980"/>
  </r>
  <r>
    <s v="CSKU09554_2ES"/>
    <x v="2"/>
    <x v="1"/>
    <x v="1"/>
    <x v="0"/>
    <x v="1"/>
    <x v="7"/>
    <x v="519"/>
    <x v="1"/>
    <x v="9"/>
    <x v="0"/>
    <n v="95440"/>
  </r>
  <r>
    <s v="CSKU09555_2ES"/>
    <x v="2"/>
    <x v="1"/>
    <x v="1"/>
    <x v="7"/>
    <x v="4"/>
    <x v="7"/>
    <x v="519"/>
    <x v="1"/>
    <x v="9"/>
    <x v="0"/>
    <n v="84960"/>
  </r>
  <r>
    <s v="CSKU09474_2ES"/>
    <x v="2"/>
    <x v="1"/>
    <x v="0"/>
    <x v="0"/>
    <x v="4"/>
    <x v="7"/>
    <x v="130"/>
    <x v="0"/>
    <x v="9"/>
    <x v="0"/>
    <n v="52540"/>
  </r>
  <r>
    <s v="CSKU09475_2ES"/>
    <x v="2"/>
    <x v="1"/>
    <x v="0"/>
    <x v="7"/>
    <x v="4"/>
    <x v="7"/>
    <x v="130"/>
    <x v="0"/>
    <x v="9"/>
    <x v="0"/>
    <n v="56110"/>
  </r>
  <r>
    <s v="CSKU09476_2ES"/>
    <x v="2"/>
    <x v="1"/>
    <x v="0"/>
    <x v="4"/>
    <x v="1"/>
    <x v="7"/>
    <x v="130"/>
    <x v="0"/>
    <x v="9"/>
    <x v="0"/>
    <n v="57740"/>
  </r>
  <r>
    <s v="CSKU09477_2ES"/>
    <x v="2"/>
    <x v="1"/>
    <x v="0"/>
    <x v="0"/>
    <x v="1"/>
    <x v="7"/>
    <x v="130"/>
    <x v="0"/>
    <x v="9"/>
    <x v="0"/>
    <n v="61270"/>
  </r>
  <r>
    <s v="CSKU09478_2ES"/>
    <x v="2"/>
    <x v="1"/>
    <x v="0"/>
    <x v="7"/>
    <x v="1"/>
    <x v="7"/>
    <x v="130"/>
    <x v="0"/>
    <x v="9"/>
    <x v="0"/>
    <n v="64820"/>
  </r>
  <r>
    <s v="CSKU09515_2ES"/>
    <x v="2"/>
    <x v="1"/>
    <x v="1"/>
    <x v="4"/>
    <x v="4"/>
    <x v="7"/>
    <x v="517"/>
    <x v="1"/>
    <x v="9"/>
    <x v="0"/>
    <n v="77020"/>
  </r>
  <r>
    <s v="CSKU09556_2ES"/>
    <x v="2"/>
    <x v="1"/>
    <x v="1"/>
    <x v="7"/>
    <x v="1"/>
    <x v="7"/>
    <x v="519"/>
    <x v="1"/>
    <x v="9"/>
    <x v="0"/>
    <n v="99420"/>
  </r>
  <r>
    <s v="CSKU09227_2ES"/>
    <x v="2"/>
    <x v="1"/>
    <x v="1"/>
    <x v="4"/>
    <x v="4"/>
    <x v="7"/>
    <x v="127"/>
    <x v="1"/>
    <x v="9"/>
    <x v="0"/>
    <n v="56310"/>
  </r>
  <r>
    <s v="CSKU09228_2ES"/>
    <x v="2"/>
    <x v="1"/>
    <x v="1"/>
    <x v="4"/>
    <x v="1"/>
    <x v="7"/>
    <x v="127"/>
    <x v="1"/>
    <x v="9"/>
    <x v="0"/>
    <n v="65590"/>
  </r>
  <r>
    <s v="CSKU09229_2ES"/>
    <x v="2"/>
    <x v="1"/>
    <x v="1"/>
    <x v="0"/>
    <x v="4"/>
    <x v="7"/>
    <x v="127"/>
    <x v="1"/>
    <x v="9"/>
    <x v="0"/>
    <n v="60270"/>
  </r>
  <r>
    <s v="CSKU09230_2ES"/>
    <x v="2"/>
    <x v="1"/>
    <x v="1"/>
    <x v="0"/>
    <x v="1"/>
    <x v="7"/>
    <x v="127"/>
    <x v="1"/>
    <x v="9"/>
    <x v="0"/>
    <n v="69550"/>
  </r>
  <r>
    <s v="CSKU09231_2ES"/>
    <x v="2"/>
    <x v="1"/>
    <x v="1"/>
    <x v="7"/>
    <x v="4"/>
    <x v="7"/>
    <x v="127"/>
    <x v="1"/>
    <x v="9"/>
    <x v="0"/>
    <n v="64250"/>
  </r>
  <r>
    <s v="CSKU09262_2ES"/>
    <x v="2"/>
    <x v="1"/>
    <x v="0"/>
    <x v="7"/>
    <x v="1"/>
    <x v="7"/>
    <x v="545"/>
    <x v="0"/>
    <x v="9"/>
    <x v="0"/>
    <n v="64820"/>
  </r>
  <r>
    <s v="CSKU09401_2ES"/>
    <x v="2"/>
    <x v="1"/>
    <x v="0"/>
    <x v="4"/>
    <x v="4"/>
    <x v="7"/>
    <x v="546"/>
    <x v="0"/>
    <x v="9"/>
    <x v="0"/>
    <n v="49010"/>
  </r>
  <r>
    <s v="CSKU09263_2ES"/>
    <x v="2"/>
    <x v="1"/>
    <x v="1"/>
    <x v="4"/>
    <x v="4"/>
    <x v="7"/>
    <x v="545"/>
    <x v="1"/>
    <x v="9"/>
    <x v="0"/>
    <n v="53590"/>
  </r>
  <r>
    <s v="CSKU09264_2ES"/>
    <x v="2"/>
    <x v="1"/>
    <x v="1"/>
    <x v="0"/>
    <x v="4"/>
    <x v="7"/>
    <x v="545"/>
    <x v="1"/>
    <x v="9"/>
    <x v="0"/>
    <n v="57550"/>
  </r>
  <r>
    <s v="CSKU09265_2ES"/>
    <x v="2"/>
    <x v="1"/>
    <x v="1"/>
    <x v="7"/>
    <x v="4"/>
    <x v="7"/>
    <x v="545"/>
    <x v="1"/>
    <x v="9"/>
    <x v="0"/>
    <n v="61530"/>
  </r>
  <r>
    <s v="CSKU09266_2ES"/>
    <x v="2"/>
    <x v="1"/>
    <x v="1"/>
    <x v="4"/>
    <x v="1"/>
    <x v="7"/>
    <x v="545"/>
    <x v="1"/>
    <x v="9"/>
    <x v="0"/>
    <n v="63160"/>
  </r>
  <r>
    <s v="CSKU09267_2ES"/>
    <x v="2"/>
    <x v="1"/>
    <x v="1"/>
    <x v="0"/>
    <x v="1"/>
    <x v="7"/>
    <x v="545"/>
    <x v="1"/>
    <x v="9"/>
    <x v="0"/>
    <n v="67120"/>
  </r>
  <r>
    <s v="CSKU09268_2ES"/>
    <x v="2"/>
    <x v="1"/>
    <x v="1"/>
    <x v="7"/>
    <x v="1"/>
    <x v="7"/>
    <x v="545"/>
    <x v="1"/>
    <x v="9"/>
    <x v="0"/>
    <n v="71100"/>
  </r>
  <r>
    <s v="CSKU09329_2ES"/>
    <x v="2"/>
    <x v="1"/>
    <x v="0"/>
    <x v="4"/>
    <x v="4"/>
    <x v="7"/>
    <x v="547"/>
    <x v="0"/>
    <x v="9"/>
    <x v="0"/>
    <n v="44710"/>
  </r>
  <r>
    <s v="CSKU09330_2ES"/>
    <x v="2"/>
    <x v="1"/>
    <x v="0"/>
    <x v="0"/>
    <x v="4"/>
    <x v="7"/>
    <x v="547"/>
    <x v="0"/>
    <x v="9"/>
    <x v="0"/>
    <n v="48240"/>
  </r>
  <r>
    <s v="CSKU09331_2ES"/>
    <x v="2"/>
    <x v="1"/>
    <x v="0"/>
    <x v="7"/>
    <x v="4"/>
    <x v="7"/>
    <x v="547"/>
    <x v="0"/>
    <x v="9"/>
    <x v="0"/>
    <n v="51810"/>
  </r>
  <r>
    <s v="CSKU09332_2ES"/>
    <x v="2"/>
    <x v="1"/>
    <x v="0"/>
    <x v="4"/>
    <x v="1"/>
    <x v="7"/>
    <x v="547"/>
    <x v="0"/>
    <x v="9"/>
    <x v="0"/>
    <n v="52250"/>
  </r>
  <r>
    <s v="CSKU09333_2ES"/>
    <x v="2"/>
    <x v="1"/>
    <x v="0"/>
    <x v="0"/>
    <x v="1"/>
    <x v="7"/>
    <x v="547"/>
    <x v="0"/>
    <x v="9"/>
    <x v="0"/>
    <n v="55780"/>
  </r>
  <r>
    <s v="CSKU09334_2ES"/>
    <x v="2"/>
    <x v="1"/>
    <x v="0"/>
    <x v="7"/>
    <x v="1"/>
    <x v="7"/>
    <x v="547"/>
    <x v="0"/>
    <x v="9"/>
    <x v="0"/>
    <n v="59330"/>
  </r>
  <r>
    <s v="CSKU09335_2ES"/>
    <x v="2"/>
    <x v="1"/>
    <x v="1"/>
    <x v="4"/>
    <x v="4"/>
    <x v="7"/>
    <x v="547"/>
    <x v="1"/>
    <x v="9"/>
    <x v="0"/>
    <n v="49290"/>
  </r>
  <r>
    <s v="CSKU09402_2ES"/>
    <x v="2"/>
    <x v="1"/>
    <x v="0"/>
    <x v="0"/>
    <x v="4"/>
    <x v="7"/>
    <x v="546"/>
    <x v="0"/>
    <x v="9"/>
    <x v="0"/>
    <n v="52540"/>
  </r>
  <r>
    <s v="CSKU09403_2ES"/>
    <x v="2"/>
    <x v="1"/>
    <x v="0"/>
    <x v="7"/>
    <x v="4"/>
    <x v="7"/>
    <x v="546"/>
    <x v="0"/>
    <x v="9"/>
    <x v="0"/>
    <n v="56110"/>
  </r>
  <r>
    <s v="CSKU09404_2ES"/>
    <x v="2"/>
    <x v="1"/>
    <x v="0"/>
    <x v="4"/>
    <x v="1"/>
    <x v="7"/>
    <x v="546"/>
    <x v="0"/>
    <x v="9"/>
    <x v="0"/>
    <n v="57740"/>
  </r>
  <r>
    <s v="CSKU09405_2ES"/>
    <x v="2"/>
    <x v="1"/>
    <x v="0"/>
    <x v="0"/>
    <x v="1"/>
    <x v="7"/>
    <x v="546"/>
    <x v="0"/>
    <x v="9"/>
    <x v="0"/>
    <n v="61270"/>
  </r>
  <r>
    <s v="CSKU09406_2ES"/>
    <x v="2"/>
    <x v="1"/>
    <x v="0"/>
    <x v="7"/>
    <x v="1"/>
    <x v="7"/>
    <x v="546"/>
    <x v="0"/>
    <x v="9"/>
    <x v="0"/>
    <n v="64820"/>
  </r>
  <r>
    <s v="CSKU09407_2ES"/>
    <x v="2"/>
    <x v="1"/>
    <x v="1"/>
    <x v="4"/>
    <x v="4"/>
    <x v="7"/>
    <x v="546"/>
    <x v="1"/>
    <x v="9"/>
    <x v="0"/>
    <n v="53590"/>
  </r>
  <r>
    <s v="CSKU09408_2ES"/>
    <x v="2"/>
    <x v="1"/>
    <x v="1"/>
    <x v="0"/>
    <x v="4"/>
    <x v="7"/>
    <x v="546"/>
    <x v="1"/>
    <x v="9"/>
    <x v="0"/>
    <n v="57550"/>
  </r>
  <r>
    <s v="CSKU09409_2ES"/>
    <x v="2"/>
    <x v="1"/>
    <x v="1"/>
    <x v="7"/>
    <x v="4"/>
    <x v="7"/>
    <x v="546"/>
    <x v="1"/>
    <x v="9"/>
    <x v="0"/>
    <n v="61530"/>
  </r>
  <r>
    <s v="CSKU09410_2ES"/>
    <x v="2"/>
    <x v="1"/>
    <x v="1"/>
    <x v="4"/>
    <x v="1"/>
    <x v="7"/>
    <x v="546"/>
    <x v="1"/>
    <x v="9"/>
    <x v="0"/>
    <n v="63160"/>
  </r>
  <r>
    <s v="CSKU08972_2ES"/>
    <x v="2"/>
    <x v="1"/>
    <x v="0"/>
    <x v="4"/>
    <x v="1"/>
    <x v="7"/>
    <x v="523"/>
    <x v="0"/>
    <x v="9"/>
    <x v="0"/>
    <n v="81530"/>
  </r>
  <r>
    <s v="CSKU08973_2ES"/>
    <x v="2"/>
    <x v="1"/>
    <x v="0"/>
    <x v="0"/>
    <x v="1"/>
    <x v="7"/>
    <x v="523"/>
    <x v="0"/>
    <x v="9"/>
    <x v="0"/>
    <n v="85060"/>
  </r>
  <r>
    <s v="CSKU08974_2ES"/>
    <x v="2"/>
    <x v="1"/>
    <x v="0"/>
    <x v="7"/>
    <x v="1"/>
    <x v="7"/>
    <x v="523"/>
    <x v="0"/>
    <x v="9"/>
    <x v="0"/>
    <n v="88610"/>
  </r>
  <r>
    <s v="CSKU08975_2ES"/>
    <x v="2"/>
    <x v="1"/>
    <x v="1"/>
    <x v="4"/>
    <x v="4"/>
    <x v="7"/>
    <x v="523"/>
    <x v="1"/>
    <x v="9"/>
    <x v="0"/>
    <n v="72720"/>
  </r>
  <r>
    <s v="CSKU08976_2ES"/>
    <x v="2"/>
    <x v="1"/>
    <x v="1"/>
    <x v="4"/>
    <x v="1"/>
    <x v="7"/>
    <x v="523"/>
    <x v="1"/>
    <x v="9"/>
    <x v="0"/>
    <n v="85990"/>
  </r>
  <r>
    <s v="CSKU08977_2ES"/>
    <x v="2"/>
    <x v="1"/>
    <x v="1"/>
    <x v="0"/>
    <x v="4"/>
    <x v="7"/>
    <x v="523"/>
    <x v="1"/>
    <x v="9"/>
    <x v="0"/>
    <n v="76680"/>
  </r>
  <r>
    <s v="CSKU08978_2ES"/>
    <x v="2"/>
    <x v="1"/>
    <x v="1"/>
    <x v="0"/>
    <x v="1"/>
    <x v="7"/>
    <x v="523"/>
    <x v="1"/>
    <x v="9"/>
    <x v="0"/>
    <n v="89950"/>
  </r>
  <r>
    <s v="CSKU09077_2ES"/>
    <x v="2"/>
    <x v="1"/>
    <x v="0"/>
    <x v="4"/>
    <x v="4"/>
    <x v="7"/>
    <x v="548"/>
    <x v="0"/>
    <x v="9"/>
    <x v="0"/>
    <n v="56990"/>
  </r>
  <r>
    <s v="CSKU09078_2ES"/>
    <x v="2"/>
    <x v="1"/>
    <x v="0"/>
    <x v="0"/>
    <x v="4"/>
    <x v="7"/>
    <x v="548"/>
    <x v="0"/>
    <x v="9"/>
    <x v="0"/>
    <n v="60520"/>
  </r>
  <r>
    <s v="CSKU09079_2ES"/>
    <x v="2"/>
    <x v="1"/>
    <x v="0"/>
    <x v="7"/>
    <x v="4"/>
    <x v="7"/>
    <x v="548"/>
    <x v="0"/>
    <x v="9"/>
    <x v="0"/>
    <n v="64090"/>
  </r>
  <r>
    <s v="CSKU09080_2ES"/>
    <x v="2"/>
    <x v="1"/>
    <x v="0"/>
    <x v="4"/>
    <x v="1"/>
    <x v="7"/>
    <x v="548"/>
    <x v="0"/>
    <x v="9"/>
    <x v="0"/>
    <n v="66620"/>
  </r>
  <r>
    <s v="CSKU09081_2ES"/>
    <x v="2"/>
    <x v="1"/>
    <x v="0"/>
    <x v="0"/>
    <x v="1"/>
    <x v="7"/>
    <x v="548"/>
    <x v="0"/>
    <x v="9"/>
    <x v="0"/>
    <n v="70150"/>
  </r>
  <r>
    <s v="CSKU09082_2ES"/>
    <x v="2"/>
    <x v="1"/>
    <x v="0"/>
    <x v="7"/>
    <x v="1"/>
    <x v="7"/>
    <x v="548"/>
    <x v="0"/>
    <x v="9"/>
    <x v="0"/>
    <n v="73700"/>
  </r>
  <r>
    <s v="CSKU09083_2ES"/>
    <x v="2"/>
    <x v="1"/>
    <x v="1"/>
    <x v="4"/>
    <x v="4"/>
    <x v="7"/>
    <x v="548"/>
    <x v="1"/>
    <x v="9"/>
    <x v="0"/>
    <n v="60610"/>
  </r>
  <r>
    <s v="CSKU09084_2ES"/>
    <x v="2"/>
    <x v="1"/>
    <x v="1"/>
    <x v="4"/>
    <x v="1"/>
    <x v="7"/>
    <x v="548"/>
    <x v="1"/>
    <x v="9"/>
    <x v="0"/>
    <n v="71080"/>
  </r>
  <r>
    <s v="CSKU09293_2ES"/>
    <x v="2"/>
    <x v="1"/>
    <x v="0"/>
    <x v="4"/>
    <x v="4"/>
    <x v="7"/>
    <x v="128"/>
    <x v="0"/>
    <x v="9"/>
    <x v="0"/>
    <n v="43540"/>
  </r>
  <r>
    <s v="CSKU09294_2ES"/>
    <x v="2"/>
    <x v="1"/>
    <x v="0"/>
    <x v="0"/>
    <x v="4"/>
    <x v="7"/>
    <x v="128"/>
    <x v="0"/>
    <x v="9"/>
    <x v="0"/>
    <n v="47070"/>
  </r>
  <r>
    <s v="CSKU09336_2ES"/>
    <x v="2"/>
    <x v="1"/>
    <x v="1"/>
    <x v="0"/>
    <x v="4"/>
    <x v="7"/>
    <x v="547"/>
    <x v="1"/>
    <x v="9"/>
    <x v="0"/>
    <n v="53250"/>
  </r>
  <r>
    <s v="CSKU09411_2ES"/>
    <x v="2"/>
    <x v="1"/>
    <x v="1"/>
    <x v="0"/>
    <x v="1"/>
    <x v="7"/>
    <x v="546"/>
    <x v="1"/>
    <x v="9"/>
    <x v="0"/>
    <n v="67120"/>
  </r>
  <r>
    <s v="CSKU09516_2ES"/>
    <x v="2"/>
    <x v="1"/>
    <x v="1"/>
    <x v="4"/>
    <x v="1"/>
    <x v="7"/>
    <x v="517"/>
    <x v="1"/>
    <x v="9"/>
    <x v="0"/>
    <n v="91480"/>
  </r>
  <r>
    <s v="CSKU09517_2ES"/>
    <x v="2"/>
    <x v="1"/>
    <x v="1"/>
    <x v="0"/>
    <x v="4"/>
    <x v="7"/>
    <x v="517"/>
    <x v="1"/>
    <x v="9"/>
    <x v="0"/>
    <n v="80980"/>
  </r>
  <r>
    <s v="CSKU09196_2ES"/>
    <x v="2"/>
    <x v="1"/>
    <x v="1"/>
    <x v="7"/>
    <x v="1"/>
    <x v="7"/>
    <x v="442"/>
    <x v="1"/>
    <x v="9"/>
    <x v="0"/>
    <n v="73530"/>
  </r>
  <r>
    <s v="CSKU09337_2ES"/>
    <x v="2"/>
    <x v="1"/>
    <x v="1"/>
    <x v="7"/>
    <x v="4"/>
    <x v="7"/>
    <x v="547"/>
    <x v="1"/>
    <x v="9"/>
    <x v="0"/>
    <n v="57230"/>
  </r>
  <r>
    <s v="CSKU09338_2ES"/>
    <x v="2"/>
    <x v="1"/>
    <x v="1"/>
    <x v="4"/>
    <x v="1"/>
    <x v="7"/>
    <x v="547"/>
    <x v="1"/>
    <x v="9"/>
    <x v="0"/>
    <n v="57670"/>
  </r>
  <r>
    <s v="CSKU09339_2ES"/>
    <x v="2"/>
    <x v="1"/>
    <x v="1"/>
    <x v="0"/>
    <x v="1"/>
    <x v="7"/>
    <x v="547"/>
    <x v="1"/>
    <x v="9"/>
    <x v="0"/>
    <n v="61630"/>
  </r>
  <r>
    <s v="CSKU09340_2ES"/>
    <x v="2"/>
    <x v="1"/>
    <x v="1"/>
    <x v="7"/>
    <x v="1"/>
    <x v="7"/>
    <x v="547"/>
    <x v="1"/>
    <x v="9"/>
    <x v="0"/>
    <n v="65610"/>
  </r>
  <r>
    <s v="CSKU09412_2ES"/>
    <x v="2"/>
    <x v="1"/>
    <x v="1"/>
    <x v="7"/>
    <x v="1"/>
    <x v="7"/>
    <x v="546"/>
    <x v="1"/>
    <x v="9"/>
    <x v="0"/>
    <n v="71100"/>
  </r>
  <r>
    <s v="CSKU09149_2ES"/>
    <x v="2"/>
    <x v="1"/>
    <x v="0"/>
    <x v="4"/>
    <x v="4"/>
    <x v="7"/>
    <x v="549"/>
    <x v="0"/>
    <x v="9"/>
    <x v="0"/>
    <n v="56990"/>
  </r>
  <r>
    <s v="CSKU09473_2ES"/>
    <x v="2"/>
    <x v="1"/>
    <x v="0"/>
    <x v="4"/>
    <x v="4"/>
    <x v="7"/>
    <x v="130"/>
    <x v="0"/>
    <x v="9"/>
    <x v="0"/>
    <n v="49010"/>
  </r>
  <r>
    <s v="CSKU08979_2ES"/>
    <x v="2"/>
    <x v="1"/>
    <x v="1"/>
    <x v="7"/>
    <x v="4"/>
    <x v="7"/>
    <x v="523"/>
    <x v="1"/>
    <x v="9"/>
    <x v="0"/>
    <n v="80660"/>
  </r>
  <r>
    <s v="CSKU08864_2ES"/>
    <x v="2"/>
    <x v="1"/>
    <x v="0"/>
    <x v="4"/>
    <x v="1"/>
    <x v="7"/>
    <x v="522"/>
    <x v="0"/>
    <x v="9"/>
    <x v="0"/>
    <n v="87020"/>
  </r>
  <r>
    <s v="CSKU08865_2ES"/>
    <x v="2"/>
    <x v="1"/>
    <x v="0"/>
    <x v="0"/>
    <x v="1"/>
    <x v="7"/>
    <x v="522"/>
    <x v="0"/>
    <x v="9"/>
    <x v="0"/>
    <n v="90550"/>
  </r>
  <r>
    <s v="CSKU08866_2ES"/>
    <x v="2"/>
    <x v="1"/>
    <x v="0"/>
    <x v="7"/>
    <x v="1"/>
    <x v="7"/>
    <x v="522"/>
    <x v="0"/>
    <x v="9"/>
    <x v="0"/>
    <n v="94100"/>
  </r>
  <r>
    <s v="CSKU08867_2ES"/>
    <x v="2"/>
    <x v="1"/>
    <x v="1"/>
    <x v="4"/>
    <x v="4"/>
    <x v="7"/>
    <x v="522"/>
    <x v="1"/>
    <x v="9"/>
    <x v="0"/>
    <n v="77020"/>
  </r>
  <r>
    <s v="CSKU08868_2ES"/>
    <x v="2"/>
    <x v="1"/>
    <x v="1"/>
    <x v="4"/>
    <x v="1"/>
    <x v="7"/>
    <x v="522"/>
    <x v="1"/>
    <x v="9"/>
    <x v="0"/>
    <n v="91480"/>
  </r>
  <r>
    <s v="CSKU08869_2ES"/>
    <x v="2"/>
    <x v="1"/>
    <x v="1"/>
    <x v="0"/>
    <x v="4"/>
    <x v="7"/>
    <x v="522"/>
    <x v="1"/>
    <x v="9"/>
    <x v="0"/>
    <n v="80980"/>
  </r>
  <r>
    <s v="CSKU08870_2ES"/>
    <x v="2"/>
    <x v="1"/>
    <x v="1"/>
    <x v="0"/>
    <x v="1"/>
    <x v="7"/>
    <x v="522"/>
    <x v="1"/>
    <x v="9"/>
    <x v="0"/>
    <n v="95440"/>
  </r>
  <r>
    <s v="CSKU08980_2ES"/>
    <x v="2"/>
    <x v="1"/>
    <x v="1"/>
    <x v="7"/>
    <x v="1"/>
    <x v="7"/>
    <x v="523"/>
    <x v="1"/>
    <x v="9"/>
    <x v="0"/>
    <n v="93930"/>
  </r>
  <r>
    <s v="CSKU09221_2ES"/>
    <x v="2"/>
    <x v="1"/>
    <x v="0"/>
    <x v="4"/>
    <x v="4"/>
    <x v="7"/>
    <x v="127"/>
    <x v="0"/>
    <x v="9"/>
    <x v="0"/>
    <n v="52690"/>
  </r>
  <r>
    <s v="CSKU09222_2ES"/>
    <x v="2"/>
    <x v="1"/>
    <x v="0"/>
    <x v="0"/>
    <x v="4"/>
    <x v="7"/>
    <x v="127"/>
    <x v="0"/>
    <x v="9"/>
    <x v="0"/>
    <n v="56220"/>
  </r>
  <r>
    <s v="CSKU09223_2ES"/>
    <x v="2"/>
    <x v="1"/>
    <x v="0"/>
    <x v="7"/>
    <x v="4"/>
    <x v="7"/>
    <x v="127"/>
    <x v="0"/>
    <x v="9"/>
    <x v="0"/>
    <n v="59790"/>
  </r>
  <r>
    <s v="CSKU09224_2ES"/>
    <x v="2"/>
    <x v="1"/>
    <x v="0"/>
    <x v="4"/>
    <x v="1"/>
    <x v="7"/>
    <x v="127"/>
    <x v="0"/>
    <x v="9"/>
    <x v="0"/>
    <n v="61130"/>
  </r>
  <r>
    <s v="CSKU09085_2ES"/>
    <x v="2"/>
    <x v="1"/>
    <x v="1"/>
    <x v="0"/>
    <x v="4"/>
    <x v="7"/>
    <x v="548"/>
    <x v="1"/>
    <x v="9"/>
    <x v="0"/>
    <n v="64570"/>
  </r>
  <r>
    <s v="CSKU09150_2ES"/>
    <x v="2"/>
    <x v="1"/>
    <x v="0"/>
    <x v="0"/>
    <x v="4"/>
    <x v="7"/>
    <x v="549"/>
    <x v="0"/>
    <x v="9"/>
    <x v="0"/>
    <n v="60520"/>
  </r>
  <r>
    <s v="CSKU09041_2ES"/>
    <x v="2"/>
    <x v="1"/>
    <x v="0"/>
    <x v="4"/>
    <x v="4"/>
    <x v="7"/>
    <x v="550"/>
    <x v="0"/>
    <x v="9"/>
    <x v="0"/>
    <n v="48860"/>
  </r>
  <r>
    <s v="CSKU09042_2ES"/>
    <x v="2"/>
    <x v="1"/>
    <x v="0"/>
    <x v="0"/>
    <x v="4"/>
    <x v="7"/>
    <x v="550"/>
    <x v="0"/>
    <x v="9"/>
    <x v="0"/>
    <n v="52390"/>
  </r>
  <r>
    <s v="CSKU09043_2ES"/>
    <x v="2"/>
    <x v="1"/>
    <x v="0"/>
    <x v="7"/>
    <x v="4"/>
    <x v="7"/>
    <x v="550"/>
    <x v="0"/>
    <x v="9"/>
    <x v="0"/>
    <n v="55960"/>
  </r>
  <r>
    <s v="CSKU09044_2ES"/>
    <x v="2"/>
    <x v="1"/>
    <x v="0"/>
    <x v="4"/>
    <x v="1"/>
    <x v="7"/>
    <x v="550"/>
    <x v="0"/>
    <x v="9"/>
    <x v="0"/>
    <n v="56860"/>
  </r>
  <r>
    <s v="CSKU09045_2ES"/>
    <x v="2"/>
    <x v="1"/>
    <x v="0"/>
    <x v="0"/>
    <x v="1"/>
    <x v="7"/>
    <x v="550"/>
    <x v="0"/>
    <x v="9"/>
    <x v="0"/>
    <n v="60390"/>
  </r>
  <r>
    <s v="CSKU09046_2ES"/>
    <x v="2"/>
    <x v="1"/>
    <x v="0"/>
    <x v="7"/>
    <x v="1"/>
    <x v="7"/>
    <x v="550"/>
    <x v="0"/>
    <x v="9"/>
    <x v="0"/>
    <n v="63940"/>
  </r>
  <r>
    <s v="CSKU09047_2ES"/>
    <x v="2"/>
    <x v="1"/>
    <x v="1"/>
    <x v="4"/>
    <x v="4"/>
    <x v="7"/>
    <x v="550"/>
    <x v="1"/>
    <x v="9"/>
    <x v="0"/>
    <n v="52800"/>
  </r>
  <r>
    <s v="CSKU09048_2ES"/>
    <x v="2"/>
    <x v="1"/>
    <x v="1"/>
    <x v="0"/>
    <x v="4"/>
    <x v="7"/>
    <x v="550"/>
    <x v="1"/>
    <x v="9"/>
    <x v="0"/>
    <n v="56760"/>
  </r>
  <r>
    <s v="CSKU09049_2ES"/>
    <x v="2"/>
    <x v="1"/>
    <x v="1"/>
    <x v="7"/>
    <x v="4"/>
    <x v="7"/>
    <x v="550"/>
    <x v="1"/>
    <x v="9"/>
    <x v="0"/>
    <n v="60740"/>
  </r>
  <r>
    <s v="CSKU09086_2ES"/>
    <x v="2"/>
    <x v="1"/>
    <x v="1"/>
    <x v="0"/>
    <x v="1"/>
    <x v="7"/>
    <x v="548"/>
    <x v="1"/>
    <x v="9"/>
    <x v="0"/>
    <n v="75040"/>
  </r>
  <r>
    <s v="CSKU09087_2ES"/>
    <x v="2"/>
    <x v="1"/>
    <x v="1"/>
    <x v="7"/>
    <x v="4"/>
    <x v="7"/>
    <x v="548"/>
    <x v="1"/>
    <x v="9"/>
    <x v="0"/>
    <n v="68550"/>
  </r>
  <r>
    <s v="CSKU09088_2ES"/>
    <x v="2"/>
    <x v="1"/>
    <x v="1"/>
    <x v="7"/>
    <x v="1"/>
    <x v="7"/>
    <x v="548"/>
    <x v="1"/>
    <x v="9"/>
    <x v="0"/>
    <n v="79020"/>
  </r>
  <r>
    <s v="CSKU09151_2ES"/>
    <x v="2"/>
    <x v="1"/>
    <x v="0"/>
    <x v="7"/>
    <x v="4"/>
    <x v="7"/>
    <x v="549"/>
    <x v="0"/>
    <x v="9"/>
    <x v="0"/>
    <n v="64090"/>
  </r>
  <r>
    <s v="CSKU09152_2ES"/>
    <x v="2"/>
    <x v="1"/>
    <x v="0"/>
    <x v="4"/>
    <x v="1"/>
    <x v="7"/>
    <x v="549"/>
    <x v="0"/>
    <x v="9"/>
    <x v="0"/>
    <n v="66620"/>
  </r>
  <r>
    <s v="CSKU09153_2ES"/>
    <x v="2"/>
    <x v="1"/>
    <x v="0"/>
    <x v="0"/>
    <x v="1"/>
    <x v="7"/>
    <x v="549"/>
    <x v="0"/>
    <x v="9"/>
    <x v="0"/>
    <n v="70150"/>
  </r>
  <r>
    <s v="CSKU09154_2ES"/>
    <x v="2"/>
    <x v="1"/>
    <x v="0"/>
    <x v="7"/>
    <x v="1"/>
    <x v="7"/>
    <x v="549"/>
    <x v="0"/>
    <x v="9"/>
    <x v="0"/>
    <n v="73700"/>
  </r>
  <r>
    <s v="CSKU09155_2ES"/>
    <x v="2"/>
    <x v="1"/>
    <x v="1"/>
    <x v="4"/>
    <x v="4"/>
    <x v="7"/>
    <x v="549"/>
    <x v="1"/>
    <x v="9"/>
    <x v="0"/>
    <n v="60610"/>
  </r>
  <r>
    <s v="CSKU09156_2ES"/>
    <x v="2"/>
    <x v="1"/>
    <x v="1"/>
    <x v="4"/>
    <x v="1"/>
    <x v="7"/>
    <x v="549"/>
    <x v="1"/>
    <x v="9"/>
    <x v="0"/>
    <n v="71080"/>
  </r>
  <r>
    <s v="CSKU09157_2ES"/>
    <x v="2"/>
    <x v="1"/>
    <x v="1"/>
    <x v="0"/>
    <x v="4"/>
    <x v="7"/>
    <x v="549"/>
    <x v="1"/>
    <x v="9"/>
    <x v="0"/>
    <n v="64570"/>
  </r>
  <r>
    <s v="CSKU09158_2ES"/>
    <x v="2"/>
    <x v="1"/>
    <x v="1"/>
    <x v="0"/>
    <x v="1"/>
    <x v="7"/>
    <x v="549"/>
    <x v="1"/>
    <x v="9"/>
    <x v="0"/>
    <n v="75040"/>
  </r>
  <r>
    <s v="CSKU09159_2ES"/>
    <x v="2"/>
    <x v="1"/>
    <x v="1"/>
    <x v="7"/>
    <x v="4"/>
    <x v="7"/>
    <x v="549"/>
    <x v="1"/>
    <x v="9"/>
    <x v="0"/>
    <n v="68550"/>
  </r>
  <r>
    <s v="CSKU08871_2ES"/>
    <x v="2"/>
    <x v="1"/>
    <x v="1"/>
    <x v="7"/>
    <x v="4"/>
    <x v="7"/>
    <x v="522"/>
    <x v="1"/>
    <x v="9"/>
    <x v="0"/>
    <n v="84960"/>
  </r>
  <r>
    <s v="CSKU08872_2ES"/>
    <x v="2"/>
    <x v="1"/>
    <x v="1"/>
    <x v="7"/>
    <x v="1"/>
    <x v="7"/>
    <x v="522"/>
    <x v="1"/>
    <x v="9"/>
    <x v="0"/>
    <n v="99420"/>
  </r>
  <r>
    <s v="CSKU09050_2ES"/>
    <x v="2"/>
    <x v="1"/>
    <x v="1"/>
    <x v="4"/>
    <x v="1"/>
    <x v="7"/>
    <x v="550"/>
    <x v="1"/>
    <x v="9"/>
    <x v="0"/>
    <n v="61640"/>
  </r>
  <r>
    <s v="CSKU09051_2ES"/>
    <x v="2"/>
    <x v="1"/>
    <x v="1"/>
    <x v="0"/>
    <x v="1"/>
    <x v="7"/>
    <x v="550"/>
    <x v="1"/>
    <x v="9"/>
    <x v="0"/>
    <n v="65600"/>
  </r>
  <r>
    <s v="CSKU09052_2ES"/>
    <x v="2"/>
    <x v="1"/>
    <x v="1"/>
    <x v="7"/>
    <x v="1"/>
    <x v="7"/>
    <x v="550"/>
    <x v="1"/>
    <x v="9"/>
    <x v="0"/>
    <n v="69580"/>
  </r>
  <r>
    <s v="CSKU09160_2ES"/>
    <x v="2"/>
    <x v="1"/>
    <x v="1"/>
    <x v="7"/>
    <x v="1"/>
    <x v="7"/>
    <x v="549"/>
    <x v="1"/>
    <x v="9"/>
    <x v="0"/>
    <n v="79020"/>
  </r>
  <r>
    <s v="CSKU09225_2ES"/>
    <x v="2"/>
    <x v="1"/>
    <x v="0"/>
    <x v="0"/>
    <x v="1"/>
    <x v="7"/>
    <x v="127"/>
    <x v="0"/>
    <x v="9"/>
    <x v="0"/>
    <n v="64660"/>
  </r>
  <r>
    <s v="CSKU09226_2ES"/>
    <x v="2"/>
    <x v="1"/>
    <x v="0"/>
    <x v="7"/>
    <x v="1"/>
    <x v="7"/>
    <x v="127"/>
    <x v="0"/>
    <x v="9"/>
    <x v="0"/>
    <n v="68210"/>
  </r>
  <r>
    <s v="CSKU08897_2ES"/>
    <x v="2"/>
    <x v="1"/>
    <x v="0"/>
    <x v="4"/>
    <x v="4"/>
    <x v="7"/>
    <x v="126"/>
    <x v="0"/>
    <x v="9"/>
    <x v="0"/>
    <n v="73400"/>
  </r>
  <r>
    <s v="CSKU08898_2ES"/>
    <x v="2"/>
    <x v="1"/>
    <x v="0"/>
    <x v="0"/>
    <x v="4"/>
    <x v="7"/>
    <x v="126"/>
    <x v="0"/>
    <x v="9"/>
    <x v="0"/>
    <n v="76930"/>
  </r>
  <r>
    <s v="CSKU08899_2ES"/>
    <x v="2"/>
    <x v="1"/>
    <x v="0"/>
    <x v="7"/>
    <x v="4"/>
    <x v="7"/>
    <x v="126"/>
    <x v="0"/>
    <x v="9"/>
    <x v="0"/>
    <n v="80500"/>
  </r>
  <r>
    <s v="CSKU08900_2ES"/>
    <x v="2"/>
    <x v="1"/>
    <x v="0"/>
    <x v="4"/>
    <x v="1"/>
    <x v="7"/>
    <x v="126"/>
    <x v="0"/>
    <x v="9"/>
    <x v="0"/>
    <n v="87020"/>
  </r>
  <r>
    <s v="CSKU08933_2ES"/>
    <x v="2"/>
    <x v="1"/>
    <x v="0"/>
    <x v="4"/>
    <x v="4"/>
    <x v="7"/>
    <x v="551"/>
    <x v="0"/>
    <x v="9"/>
    <x v="0"/>
    <n v="73400"/>
  </r>
  <r>
    <s v="CSKU08799_2ES"/>
    <x v="2"/>
    <x v="1"/>
    <x v="1"/>
    <x v="7"/>
    <x v="4"/>
    <x v="7"/>
    <x v="441"/>
    <x v="1"/>
    <x v="9"/>
    <x v="0"/>
    <n v="79490"/>
  </r>
  <r>
    <s v="CSKU08800_2ES"/>
    <x v="2"/>
    <x v="1"/>
    <x v="1"/>
    <x v="7"/>
    <x v="1"/>
    <x v="7"/>
    <x v="441"/>
    <x v="1"/>
    <x v="9"/>
    <x v="0"/>
    <n v="92620"/>
  </r>
  <r>
    <s v="CSKU08934_2ES"/>
    <x v="2"/>
    <x v="1"/>
    <x v="0"/>
    <x v="0"/>
    <x v="4"/>
    <x v="7"/>
    <x v="551"/>
    <x v="0"/>
    <x v="9"/>
    <x v="0"/>
    <n v="76930"/>
  </r>
  <r>
    <s v="CSKU08935_2ES"/>
    <x v="2"/>
    <x v="1"/>
    <x v="0"/>
    <x v="7"/>
    <x v="4"/>
    <x v="7"/>
    <x v="551"/>
    <x v="0"/>
    <x v="9"/>
    <x v="0"/>
    <n v="80500"/>
  </r>
  <r>
    <s v="CSKU08936_2ES"/>
    <x v="2"/>
    <x v="1"/>
    <x v="0"/>
    <x v="4"/>
    <x v="1"/>
    <x v="7"/>
    <x v="551"/>
    <x v="0"/>
    <x v="9"/>
    <x v="0"/>
    <n v="87020"/>
  </r>
  <r>
    <s v="CSKU08937_2ES"/>
    <x v="2"/>
    <x v="1"/>
    <x v="0"/>
    <x v="0"/>
    <x v="1"/>
    <x v="7"/>
    <x v="551"/>
    <x v="0"/>
    <x v="9"/>
    <x v="0"/>
    <n v="90550"/>
  </r>
  <r>
    <s v="CSKU08938_2ES"/>
    <x v="2"/>
    <x v="1"/>
    <x v="0"/>
    <x v="7"/>
    <x v="1"/>
    <x v="7"/>
    <x v="551"/>
    <x v="0"/>
    <x v="9"/>
    <x v="0"/>
    <n v="94100"/>
  </r>
  <r>
    <s v="CSKU08939_2ES"/>
    <x v="2"/>
    <x v="1"/>
    <x v="1"/>
    <x v="4"/>
    <x v="4"/>
    <x v="7"/>
    <x v="551"/>
    <x v="1"/>
    <x v="9"/>
    <x v="0"/>
    <n v="77020"/>
  </r>
  <r>
    <s v="CSKU08940_2ES"/>
    <x v="2"/>
    <x v="1"/>
    <x v="1"/>
    <x v="4"/>
    <x v="1"/>
    <x v="7"/>
    <x v="551"/>
    <x v="1"/>
    <x v="9"/>
    <x v="0"/>
    <n v="91480"/>
  </r>
  <r>
    <s v="CSKU08717_2ES"/>
    <x v="2"/>
    <x v="1"/>
    <x v="0"/>
    <x v="4"/>
    <x v="4"/>
    <x v="7"/>
    <x v="125"/>
    <x v="0"/>
    <x v="9"/>
    <x v="0"/>
    <n v="56200"/>
  </r>
  <r>
    <s v="CSKU08718_2ES"/>
    <x v="2"/>
    <x v="1"/>
    <x v="0"/>
    <x v="0"/>
    <x v="4"/>
    <x v="7"/>
    <x v="125"/>
    <x v="0"/>
    <x v="9"/>
    <x v="0"/>
    <n v="59730"/>
  </r>
  <r>
    <s v="CSKU08719_2ES"/>
    <x v="2"/>
    <x v="1"/>
    <x v="0"/>
    <x v="7"/>
    <x v="4"/>
    <x v="7"/>
    <x v="125"/>
    <x v="0"/>
    <x v="9"/>
    <x v="0"/>
    <n v="63300"/>
  </r>
  <r>
    <s v="CSKU08941_2ES"/>
    <x v="2"/>
    <x v="1"/>
    <x v="1"/>
    <x v="0"/>
    <x v="4"/>
    <x v="7"/>
    <x v="551"/>
    <x v="1"/>
    <x v="9"/>
    <x v="0"/>
    <n v="80980"/>
  </r>
  <r>
    <s v="CSKU08753_2ES"/>
    <x v="2"/>
    <x v="1"/>
    <x v="0"/>
    <x v="4"/>
    <x v="4"/>
    <x v="7"/>
    <x v="552"/>
    <x v="0"/>
    <x v="9"/>
    <x v="0"/>
    <n v="69100"/>
  </r>
  <r>
    <s v="CSKU08754_2ES"/>
    <x v="2"/>
    <x v="1"/>
    <x v="0"/>
    <x v="0"/>
    <x v="4"/>
    <x v="7"/>
    <x v="552"/>
    <x v="0"/>
    <x v="9"/>
    <x v="0"/>
    <n v="72630"/>
  </r>
  <r>
    <s v="CSKU08755_2ES"/>
    <x v="2"/>
    <x v="1"/>
    <x v="0"/>
    <x v="7"/>
    <x v="4"/>
    <x v="7"/>
    <x v="552"/>
    <x v="0"/>
    <x v="9"/>
    <x v="0"/>
    <n v="76200"/>
  </r>
  <r>
    <s v="CSKU08942_2ES"/>
    <x v="2"/>
    <x v="1"/>
    <x v="1"/>
    <x v="0"/>
    <x v="1"/>
    <x v="7"/>
    <x v="551"/>
    <x v="1"/>
    <x v="9"/>
    <x v="0"/>
    <n v="95440"/>
  </r>
  <r>
    <s v="CSKU08943_2ES"/>
    <x v="2"/>
    <x v="1"/>
    <x v="1"/>
    <x v="7"/>
    <x v="4"/>
    <x v="7"/>
    <x v="551"/>
    <x v="1"/>
    <x v="9"/>
    <x v="0"/>
    <n v="84960"/>
  </r>
  <r>
    <s v="CSKU08944_2ES"/>
    <x v="2"/>
    <x v="1"/>
    <x v="1"/>
    <x v="7"/>
    <x v="1"/>
    <x v="7"/>
    <x v="551"/>
    <x v="1"/>
    <x v="9"/>
    <x v="0"/>
    <n v="99420"/>
  </r>
  <r>
    <s v="CSKU08186_2ES"/>
    <x v="2"/>
    <x v="1"/>
    <x v="1"/>
    <x v="0"/>
    <x v="1"/>
    <x v="7"/>
    <x v="531"/>
    <x v="1"/>
    <x v="9"/>
    <x v="0"/>
    <n v="95440"/>
  </r>
  <r>
    <s v="CSKU08187_2ES"/>
    <x v="2"/>
    <x v="1"/>
    <x v="1"/>
    <x v="7"/>
    <x v="4"/>
    <x v="7"/>
    <x v="531"/>
    <x v="1"/>
    <x v="9"/>
    <x v="0"/>
    <n v="84960"/>
  </r>
  <r>
    <s v="CSKU08188_2ES"/>
    <x v="2"/>
    <x v="1"/>
    <x v="1"/>
    <x v="7"/>
    <x v="1"/>
    <x v="7"/>
    <x v="531"/>
    <x v="1"/>
    <x v="9"/>
    <x v="0"/>
    <n v="99420"/>
  </r>
  <r>
    <s v="CSKU08393_2ES"/>
    <x v="2"/>
    <x v="1"/>
    <x v="0"/>
    <x v="4"/>
    <x v="4"/>
    <x v="7"/>
    <x v="553"/>
    <x v="0"/>
    <x v="9"/>
    <x v="0"/>
    <n v="73400"/>
  </r>
  <r>
    <s v="CSKU08394_2ES"/>
    <x v="2"/>
    <x v="1"/>
    <x v="0"/>
    <x v="0"/>
    <x v="4"/>
    <x v="7"/>
    <x v="553"/>
    <x v="0"/>
    <x v="9"/>
    <x v="0"/>
    <n v="76930"/>
  </r>
  <r>
    <s v="CSKU08395_2ES"/>
    <x v="2"/>
    <x v="1"/>
    <x v="0"/>
    <x v="7"/>
    <x v="4"/>
    <x v="7"/>
    <x v="553"/>
    <x v="0"/>
    <x v="9"/>
    <x v="0"/>
    <n v="80500"/>
  </r>
  <r>
    <s v="CSKU08396_2ES"/>
    <x v="2"/>
    <x v="1"/>
    <x v="0"/>
    <x v="4"/>
    <x v="1"/>
    <x v="7"/>
    <x v="553"/>
    <x v="0"/>
    <x v="9"/>
    <x v="0"/>
    <n v="87020"/>
  </r>
  <r>
    <s v="CSKU08397_2ES"/>
    <x v="2"/>
    <x v="1"/>
    <x v="0"/>
    <x v="0"/>
    <x v="1"/>
    <x v="7"/>
    <x v="553"/>
    <x v="0"/>
    <x v="9"/>
    <x v="0"/>
    <n v="90550"/>
  </r>
  <r>
    <s v="CSKU08546_2ES"/>
    <x v="2"/>
    <x v="1"/>
    <x v="1"/>
    <x v="0"/>
    <x v="1"/>
    <x v="7"/>
    <x v="521"/>
    <x v="1"/>
    <x v="9"/>
    <x v="0"/>
    <n v="72170"/>
  </r>
  <r>
    <s v="CSKU08547_2ES"/>
    <x v="2"/>
    <x v="1"/>
    <x v="1"/>
    <x v="7"/>
    <x v="4"/>
    <x v="7"/>
    <x v="521"/>
    <x v="1"/>
    <x v="9"/>
    <x v="0"/>
    <n v="66590"/>
  </r>
  <r>
    <s v="CSKU08548_2ES"/>
    <x v="2"/>
    <x v="1"/>
    <x v="1"/>
    <x v="7"/>
    <x v="1"/>
    <x v="7"/>
    <x v="521"/>
    <x v="1"/>
    <x v="9"/>
    <x v="0"/>
    <n v="76150"/>
  </r>
  <r>
    <s v="CSKU08609_2ES"/>
    <x v="2"/>
    <x v="1"/>
    <x v="0"/>
    <x v="4"/>
    <x v="4"/>
    <x v="7"/>
    <x v="554"/>
    <x v="0"/>
    <x v="9"/>
    <x v="0"/>
    <n v="60500"/>
  </r>
  <r>
    <s v="CSKU08610_2ES"/>
    <x v="2"/>
    <x v="1"/>
    <x v="0"/>
    <x v="0"/>
    <x v="4"/>
    <x v="7"/>
    <x v="554"/>
    <x v="0"/>
    <x v="9"/>
    <x v="0"/>
    <n v="64030"/>
  </r>
  <r>
    <s v="CSKU08611_2ES"/>
    <x v="2"/>
    <x v="1"/>
    <x v="0"/>
    <x v="7"/>
    <x v="4"/>
    <x v="7"/>
    <x v="554"/>
    <x v="0"/>
    <x v="9"/>
    <x v="0"/>
    <n v="67600"/>
  </r>
  <r>
    <s v="CSKU08612_2ES"/>
    <x v="2"/>
    <x v="1"/>
    <x v="0"/>
    <x v="4"/>
    <x v="1"/>
    <x v="7"/>
    <x v="554"/>
    <x v="0"/>
    <x v="9"/>
    <x v="0"/>
    <n v="70550"/>
  </r>
  <r>
    <s v="CSKU08613_2ES"/>
    <x v="2"/>
    <x v="1"/>
    <x v="0"/>
    <x v="0"/>
    <x v="1"/>
    <x v="7"/>
    <x v="554"/>
    <x v="0"/>
    <x v="9"/>
    <x v="0"/>
    <n v="74080"/>
  </r>
  <r>
    <s v="CSKU08614_2ES"/>
    <x v="2"/>
    <x v="1"/>
    <x v="0"/>
    <x v="7"/>
    <x v="1"/>
    <x v="7"/>
    <x v="554"/>
    <x v="0"/>
    <x v="9"/>
    <x v="0"/>
    <n v="77630"/>
  </r>
  <r>
    <s v="CSKU08615_2ES"/>
    <x v="2"/>
    <x v="1"/>
    <x v="1"/>
    <x v="4"/>
    <x v="4"/>
    <x v="7"/>
    <x v="554"/>
    <x v="1"/>
    <x v="9"/>
    <x v="0"/>
    <n v="64120"/>
  </r>
  <r>
    <s v="CSKU08616_2ES"/>
    <x v="2"/>
    <x v="1"/>
    <x v="1"/>
    <x v="4"/>
    <x v="1"/>
    <x v="7"/>
    <x v="554"/>
    <x v="1"/>
    <x v="9"/>
    <x v="0"/>
    <n v="75010"/>
  </r>
  <r>
    <s v="CSKU08617_2ES"/>
    <x v="2"/>
    <x v="1"/>
    <x v="1"/>
    <x v="0"/>
    <x v="4"/>
    <x v="7"/>
    <x v="554"/>
    <x v="1"/>
    <x v="9"/>
    <x v="0"/>
    <n v="68080"/>
  </r>
  <r>
    <s v="CSKU08756_2ES"/>
    <x v="2"/>
    <x v="1"/>
    <x v="0"/>
    <x v="4"/>
    <x v="1"/>
    <x v="7"/>
    <x v="552"/>
    <x v="0"/>
    <x v="9"/>
    <x v="0"/>
    <n v="81530"/>
  </r>
  <r>
    <s v="CSKU08618_2ES"/>
    <x v="2"/>
    <x v="1"/>
    <x v="1"/>
    <x v="0"/>
    <x v="1"/>
    <x v="7"/>
    <x v="554"/>
    <x v="1"/>
    <x v="9"/>
    <x v="0"/>
    <n v="78970"/>
  </r>
  <r>
    <s v="CSKU08619_2ES"/>
    <x v="2"/>
    <x v="1"/>
    <x v="1"/>
    <x v="7"/>
    <x v="4"/>
    <x v="7"/>
    <x v="554"/>
    <x v="1"/>
    <x v="9"/>
    <x v="0"/>
    <n v="72060"/>
  </r>
  <r>
    <s v="CSKU08620_2ES"/>
    <x v="2"/>
    <x v="1"/>
    <x v="1"/>
    <x v="7"/>
    <x v="1"/>
    <x v="7"/>
    <x v="554"/>
    <x v="1"/>
    <x v="9"/>
    <x v="0"/>
    <n v="82950"/>
  </r>
  <r>
    <s v="CSKU08681_2ES"/>
    <x v="2"/>
    <x v="1"/>
    <x v="0"/>
    <x v="4"/>
    <x v="4"/>
    <x v="7"/>
    <x v="555"/>
    <x v="0"/>
    <x v="9"/>
    <x v="0"/>
    <n v="60500"/>
  </r>
  <r>
    <s v="CSKU08682_2ES"/>
    <x v="2"/>
    <x v="1"/>
    <x v="0"/>
    <x v="0"/>
    <x v="4"/>
    <x v="7"/>
    <x v="555"/>
    <x v="0"/>
    <x v="9"/>
    <x v="0"/>
    <n v="64030"/>
  </r>
  <r>
    <s v="CSKU08683_2ES"/>
    <x v="2"/>
    <x v="1"/>
    <x v="0"/>
    <x v="7"/>
    <x v="4"/>
    <x v="7"/>
    <x v="555"/>
    <x v="0"/>
    <x v="9"/>
    <x v="0"/>
    <n v="67600"/>
  </r>
  <r>
    <s v="CSKU08684_2ES"/>
    <x v="2"/>
    <x v="1"/>
    <x v="0"/>
    <x v="4"/>
    <x v="1"/>
    <x v="7"/>
    <x v="555"/>
    <x v="0"/>
    <x v="9"/>
    <x v="0"/>
    <n v="70550"/>
  </r>
  <r>
    <s v="CSKU08685_2ES"/>
    <x v="2"/>
    <x v="1"/>
    <x v="0"/>
    <x v="0"/>
    <x v="1"/>
    <x v="7"/>
    <x v="555"/>
    <x v="0"/>
    <x v="9"/>
    <x v="0"/>
    <n v="74080"/>
  </r>
  <r>
    <s v="CSKU08686_2ES"/>
    <x v="2"/>
    <x v="1"/>
    <x v="0"/>
    <x v="7"/>
    <x v="1"/>
    <x v="7"/>
    <x v="555"/>
    <x v="0"/>
    <x v="9"/>
    <x v="0"/>
    <n v="77630"/>
  </r>
  <r>
    <s v="CSKU08687_2ES"/>
    <x v="2"/>
    <x v="1"/>
    <x v="1"/>
    <x v="4"/>
    <x v="4"/>
    <x v="7"/>
    <x v="555"/>
    <x v="1"/>
    <x v="9"/>
    <x v="0"/>
    <n v="64120"/>
  </r>
  <r>
    <s v="CSKU08757_2ES"/>
    <x v="2"/>
    <x v="1"/>
    <x v="0"/>
    <x v="0"/>
    <x v="1"/>
    <x v="7"/>
    <x v="552"/>
    <x v="0"/>
    <x v="9"/>
    <x v="0"/>
    <n v="85060"/>
  </r>
  <r>
    <s v="CSKU08758_2ES"/>
    <x v="2"/>
    <x v="1"/>
    <x v="0"/>
    <x v="7"/>
    <x v="1"/>
    <x v="7"/>
    <x v="552"/>
    <x v="0"/>
    <x v="9"/>
    <x v="0"/>
    <n v="88610"/>
  </r>
  <r>
    <s v="CSKU08759_2ES"/>
    <x v="2"/>
    <x v="1"/>
    <x v="1"/>
    <x v="4"/>
    <x v="4"/>
    <x v="7"/>
    <x v="552"/>
    <x v="1"/>
    <x v="9"/>
    <x v="0"/>
    <n v="72720"/>
  </r>
  <r>
    <s v="CSKU08760_2ES"/>
    <x v="2"/>
    <x v="1"/>
    <x v="1"/>
    <x v="4"/>
    <x v="1"/>
    <x v="7"/>
    <x v="552"/>
    <x v="1"/>
    <x v="9"/>
    <x v="0"/>
    <n v="85990"/>
  </r>
  <r>
    <s v="CSKU08761_2ES"/>
    <x v="2"/>
    <x v="1"/>
    <x v="1"/>
    <x v="0"/>
    <x v="4"/>
    <x v="7"/>
    <x v="552"/>
    <x v="1"/>
    <x v="9"/>
    <x v="0"/>
    <n v="76680"/>
  </r>
  <r>
    <s v="CSKU08762_2ES"/>
    <x v="2"/>
    <x v="1"/>
    <x v="1"/>
    <x v="0"/>
    <x v="1"/>
    <x v="7"/>
    <x v="552"/>
    <x v="1"/>
    <x v="9"/>
    <x v="0"/>
    <n v="89950"/>
  </r>
  <r>
    <s v="CSKU08763_2ES"/>
    <x v="2"/>
    <x v="1"/>
    <x v="1"/>
    <x v="7"/>
    <x v="4"/>
    <x v="7"/>
    <x v="552"/>
    <x v="1"/>
    <x v="9"/>
    <x v="0"/>
    <n v="80660"/>
  </r>
  <r>
    <s v="CSKU08825_2ES"/>
    <x v="2"/>
    <x v="1"/>
    <x v="0"/>
    <x v="4"/>
    <x v="4"/>
    <x v="7"/>
    <x v="556"/>
    <x v="0"/>
    <x v="9"/>
    <x v="0"/>
    <n v="65270"/>
  </r>
  <r>
    <s v="CSKU08826_2ES"/>
    <x v="2"/>
    <x v="1"/>
    <x v="0"/>
    <x v="0"/>
    <x v="4"/>
    <x v="7"/>
    <x v="556"/>
    <x v="0"/>
    <x v="9"/>
    <x v="0"/>
    <n v="68800"/>
  </r>
  <r>
    <s v="CSKU08827_2ES"/>
    <x v="2"/>
    <x v="1"/>
    <x v="0"/>
    <x v="7"/>
    <x v="4"/>
    <x v="7"/>
    <x v="556"/>
    <x v="0"/>
    <x v="9"/>
    <x v="0"/>
    <n v="72370"/>
  </r>
  <r>
    <s v="CSKU08828_2ES"/>
    <x v="2"/>
    <x v="1"/>
    <x v="0"/>
    <x v="4"/>
    <x v="1"/>
    <x v="7"/>
    <x v="556"/>
    <x v="0"/>
    <x v="9"/>
    <x v="0"/>
    <n v="77260"/>
  </r>
  <r>
    <s v="CSKU08829_2ES"/>
    <x v="2"/>
    <x v="1"/>
    <x v="0"/>
    <x v="0"/>
    <x v="1"/>
    <x v="7"/>
    <x v="556"/>
    <x v="0"/>
    <x v="9"/>
    <x v="0"/>
    <n v="80790"/>
  </r>
  <r>
    <s v="CSKU08830_2ES"/>
    <x v="2"/>
    <x v="1"/>
    <x v="0"/>
    <x v="7"/>
    <x v="1"/>
    <x v="7"/>
    <x v="556"/>
    <x v="0"/>
    <x v="9"/>
    <x v="0"/>
    <n v="84340"/>
  </r>
  <r>
    <s v="CSKU08831_2ES"/>
    <x v="2"/>
    <x v="1"/>
    <x v="1"/>
    <x v="4"/>
    <x v="4"/>
    <x v="7"/>
    <x v="556"/>
    <x v="1"/>
    <x v="9"/>
    <x v="0"/>
    <n v="69210"/>
  </r>
  <r>
    <s v="CSKU08832_2ES"/>
    <x v="2"/>
    <x v="1"/>
    <x v="1"/>
    <x v="0"/>
    <x v="4"/>
    <x v="7"/>
    <x v="556"/>
    <x v="1"/>
    <x v="9"/>
    <x v="0"/>
    <n v="73170"/>
  </r>
  <r>
    <s v="CSKU08648_2ES"/>
    <x v="2"/>
    <x v="1"/>
    <x v="0"/>
    <x v="4"/>
    <x v="1"/>
    <x v="7"/>
    <x v="124"/>
    <x v="0"/>
    <x v="9"/>
    <x v="0"/>
    <n v="70550"/>
  </r>
  <r>
    <s v="CSKU08649_2ES"/>
    <x v="2"/>
    <x v="1"/>
    <x v="0"/>
    <x v="0"/>
    <x v="1"/>
    <x v="7"/>
    <x v="124"/>
    <x v="0"/>
    <x v="9"/>
    <x v="0"/>
    <n v="74080"/>
  </r>
  <r>
    <s v="CSKU08650_2ES"/>
    <x v="2"/>
    <x v="1"/>
    <x v="0"/>
    <x v="7"/>
    <x v="1"/>
    <x v="7"/>
    <x v="124"/>
    <x v="0"/>
    <x v="9"/>
    <x v="0"/>
    <n v="77630"/>
  </r>
  <r>
    <s v="CSKU08651_2ES"/>
    <x v="2"/>
    <x v="1"/>
    <x v="1"/>
    <x v="4"/>
    <x v="4"/>
    <x v="7"/>
    <x v="124"/>
    <x v="1"/>
    <x v="9"/>
    <x v="0"/>
    <n v="64120"/>
  </r>
  <r>
    <s v="CSKU08688_2ES"/>
    <x v="2"/>
    <x v="1"/>
    <x v="1"/>
    <x v="4"/>
    <x v="1"/>
    <x v="7"/>
    <x v="555"/>
    <x v="1"/>
    <x v="9"/>
    <x v="0"/>
    <n v="75010"/>
  </r>
  <r>
    <s v="CSKU08764_2ES"/>
    <x v="2"/>
    <x v="1"/>
    <x v="1"/>
    <x v="7"/>
    <x v="1"/>
    <x v="7"/>
    <x v="552"/>
    <x v="1"/>
    <x v="9"/>
    <x v="0"/>
    <n v="93930"/>
  </r>
  <r>
    <s v="CSKU08833_2ES"/>
    <x v="2"/>
    <x v="1"/>
    <x v="1"/>
    <x v="7"/>
    <x v="4"/>
    <x v="7"/>
    <x v="556"/>
    <x v="1"/>
    <x v="9"/>
    <x v="0"/>
    <n v="77150"/>
  </r>
  <r>
    <s v="CSKU08689_2ES"/>
    <x v="2"/>
    <x v="1"/>
    <x v="1"/>
    <x v="0"/>
    <x v="4"/>
    <x v="7"/>
    <x v="555"/>
    <x v="1"/>
    <x v="9"/>
    <x v="0"/>
    <n v="68080"/>
  </r>
  <r>
    <s v="CSKU08690_2ES"/>
    <x v="2"/>
    <x v="1"/>
    <x v="1"/>
    <x v="0"/>
    <x v="1"/>
    <x v="7"/>
    <x v="555"/>
    <x v="1"/>
    <x v="9"/>
    <x v="0"/>
    <n v="78970"/>
  </r>
  <r>
    <s v="CSKU08691_2ES"/>
    <x v="2"/>
    <x v="1"/>
    <x v="1"/>
    <x v="7"/>
    <x v="4"/>
    <x v="7"/>
    <x v="555"/>
    <x v="1"/>
    <x v="9"/>
    <x v="0"/>
    <n v="72060"/>
  </r>
  <r>
    <s v="CSKU08692_2ES"/>
    <x v="2"/>
    <x v="1"/>
    <x v="1"/>
    <x v="7"/>
    <x v="1"/>
    <x v="7"/>
    <x v="555"/>
    <x v="1"/>
    <x v="9"/>
    <x v="0"/>
    <n v="82950"/>
  </r>
  <r>
    <s v="CSKU06917_2ES"/>
    <x v="2"/>
    <x v="1"/>
    <x v="0"/>
    <x v="4"/>
    <x v="4"/>
    <x v="7"/>
    <x v="557"/>
    <x v="0"/>
    <x v="9"/>
    <x v="0"/>
    <n v="64800"/>
  </r>
  <r>
    <s v="CSKU06918_2ES"/>
    <x v="2"/>
    <x v="1"/>
    <x v="0"/>
    <x v="0"/>
    <x v="4"/>
    <x v="7"/>
    <x v="557"/>
    <x v="0"/>
    <x v="9"/>
    <x v="0"/>
    <n v="68330"/>
  </r>
  <r>
    <s v="CSKU06919_2ES"/>
    <x v="2"/>
    <x v="1"/>
    <x v="0"/>
    <x v="7"/>
    <x v="4"/>
    <x v="7"/>
    <x v="557"/>
    <x v="0"/>
    <x v="9"/>
    <x v="0"/>
    <n v="71900"/>
  </r>
  <r>
    <s v="CSKU06920_2ES"/>
    <x v="2"/>
    <x v="1"/>
    <x v="0"/>
    <x v="4"/>
    <x v="1"/>
    <x v="7"/>
    <x v="557"/>
    <x v="0"/>
    <x v="9"/>
    <x v="0"/>
    <n v="76040"/>
  </r>
  <r>
    <s v="CSKU06921_2ES"/>
    <x v="2"/>
    <x v="1"/>
    <x v="0"/>
    <x v="0"/>
    <x v="1"/>
    <x v="7"/>
    <x v="557"/>
    <x v="0"/>
    <x v="9"/>
    <x v="0"/>
    <n v="79570"/>
  </r>
  <r>
    <s v="CSKU06922_2ES"/>
    <x v="2"/>
    <x v="1"/>
    <x v="0"/>
    <x v="7"/>
    <x v="1"/>
    <x v="7"/>
    <x v="557"/>
    <x v="0"/>
    <x v="9"/>
    <x v="0"/>
    <n v="83120"/>
  </r>
  <r>
    <s v="CSKU06923_2ES"/>
    <x v="2"/>
    <x v="1"/>
    <x v="1"/>
    <x v="4"/>
    <x v="4"/>
    <x v="7"/>
    <x v="557"/>
    <x v="1"/>
    <x v="9"/>
    <x v="0"/>
    <n v="68420"/>
  </r>
  <r>
    <s v="CSKU06989_2ES"/>
    <x v="2"/>
    <x v="1"/>
    <x v="0"/>
    <x v="4"/>
    <x v="4"/>
    <x v="7"/>
    <x v="558"/>
    <x v="0"/>
    <x v="9"/>
    <x v="0"/>
    <n v="64800"/>
  </r>
  <r>
    <s v="CSKU06990_2ES"/>
    <x v="2"/>
    <x v="1"/>
    <x v="0"/>
    <x v="0"/>
    <x v="4"/>
    <x v="7"/>
    <x v="558"/>
    <x v="0"/>
    <x v="9"/>
    <x v="0"/>
    <n v="68330"/>
  </r>
  <r>
    <s v="CSKU06991_2ES"/>
    <x v="2"/>
    <x v="1"/>
    <x v="0"/>
    <x v="7"/>
    <x v="4"/>
    <x v="7"/>
    <x v="558"/>
    <x v="0"/>
    <x v="9"/>
    <x v="0"/>
    <n v="71900"/>
  </r>
  <r>
    <s v="CSKU06992_2ES"/>
    <x v="2"/>
    <x v="1"/>
    <x v="0"/>
    <x v="4"/>
    <x v="1"/>
    <x v="7"/>
    <x v="558"/>
    <x v="0"/>
    <x v="9"/>
    <x v="0"/>
    <n v="76040"/>
  </r>
  <r>
    <s v="CSKU07423_2ES"/>
    <x v="2"/>
    <x v="1"/>
    <x v="0"/>
    <x v="7"/>
    <x v="4"/>
    <x v="7"/>
    <x v="524"/>
    <x v="0"/>
    <x v="9"/>
    <x v="0"/>
    <n v="80500"/>
  </r>
  <r>
    <s v="CSKU07424_2ES"/>
    <x v="2"/>
    <x v="1"/>
    <x v="0"/>
    <x v="4"/>
    <x v="1"/>
    <x v="7"/>
    <x v="524"/>
    <x v="0"/>
    <x v="9"/>
    <x v="0"/>
    <n v="87020"/>
  </r>
  <r>
    <s v="CSKU07425_2ES"/>
    <x v="2"/>
    <x v="1"/>
    <x v="0"/>
    <x v="0"/>
    <x v="1"/>
    <x v="7"/>
    <x v="524"/>
    <x v="0"/>
    <x v="9"/>
    <x v="0"/>
    <n v="90550"/>
  </r>
  <r>
    <s v="CSKU07426_2ES"/>
    <x v="2"/>
    <x v="1"/>
    <x v="0"/>
    <x v="7"/>
    <x v="1"/>
    <x v="7"/>
    <x v="524"/>
    <x v="0"/>
    <x v="9"/>
    <x v="0"/>
    <n v="94100"/>
  </r>
  <r>
    <s v="CSKU07427_2ES"/>
    <x v="2"/>
    <x v="1"/>
    <x v="1"/>
    <x v="4"/>
    <x v="4"/>
    <x v="7"/>
    <x v="524"/>
    <x v="1"/>
    <x v="9"/>
    <x v="0"/>
    <n v="77020"/>
  </r>
  <r>
    <s v="CSKU07428_2ES"/>
    <x v="2"/>
    <x v="1"/>
    <x v="1"/>
    <x v="4"/>
    <x v="1"/>
    <x v="7"/>
    <x v="524"/>
    <x v="1"/>
    <x v="9"/>
    <x v="0"/>
    <n v="91480"/>
  </r>
  <r>
    <s v="CSKU07429_2ES"/>
    <x v="2"/>
    <x v="1"/>
    <x v="1"/>
    <x v="0"/>
    <x v="4"/>
    <x v="7"/>
    <x v="524"/>
    <x v="1"/>
    <x v="9"/>
    <x v="0"/>
    <n v="80980"/>
  </r>
  <r>
    <s v="CSKU07430_2ES"/>
    <x v="2"/>
    <x v="1"/>
    <x v="1"/>
    <x v="0"/>
    <x v="1"/>
    <x v="7"/>
    <x v="524"/>
    <x v="1"/>
    <x v="9"/>
    <x v="0"/>
    <n v="95440"/>
  </r>
  <r>
    <s v="CSKU07431_2ES"/>
    <x v="2"/>
    <x v="1"/>
    <x v="1"/>
    <x v="7"/>
    <x v="4"/>
    <x v="7"/>
    <x v="524"/>
    <x v="1"/>
    <x v="9"/>
    <x v="0"/>
    <n v="84960"/>
  </r>
  <r>
    <s v="CSKU07432_2ES"/>
    <x v="2"/>
    <x v="1"/>
    <x v="1"/>
    <x v="7"/>
    <x v="1"/>
    <x v="7"/>
    <x v="524"/>
    <x v="1"/>
    <x v="9"/>
    <x v="0"/>
    <n v="99420"/>
  </r>
  <r>
    <s v="CSKU07502_2ES"/>
    <x v="2"/>
    <x v="1"/>
    <x v="1"/>
    <x v="0"/>
    <x v="1"/>
    <x v="7"/>
    <x v="525"/>
    <x v="1"/>
    <x v="9"/>
    <x v="0"/>
    <n v="81840"/>
  </r>
  <r>
    <s v="CSKU07503_2ES"/>
    <x v="2"/>
    <x v="1"/>
    <x v="1"/>
    <x v="7"/>
    <x v="4"/>
    <x v="7"/>
    <x v="525"/>
    <x v="1"/>
    <x v="9"/>
    <x v="0"/>
    <n v="74020"/>
  </r>
  <r>
    <s v="CSKU07504_2ES"/>
    <x v="2"/>
    <x v="1"/>
    <x v="1"/>
    <x v="7"/>
    <x v="1"/>
    <x v="7"/>
    <x v="525"/>
    <x v="1"/>
    <x v="9"/>
    <x v="0"/>
    <n v="85820"/>
  </r>
  <r>
    <s v="CSKU07601_2ES"/>
    <x v="2"/>
    <x v="1"/>
    <x v="0"/>
    <x v="4"/>
    <x v="4"/>
    <x v="7"/>
    <x v="559"/>
    <x v="0"/>
    <x v="9"/>
    <x v="0"/>
    <n v="62460"/>
  </r>
  <r>
    <s v="CSKU07602_2ES"/>
    <x v="2"/>
    <x v="1"/>
    <x v="0"/>
    <x v="0"/>
    <x v="4"/>
    <x v="7"/>
    <x v="559"/>
    <x v="0"/>
    <x v="9"/>
    <x v="0"/>
    <n v="65990"/>
  </r>
  <r>
    <s v="CSKU07603_2ES"/>
    <x v="2"/>
    <x v="1"/>
    <x v="0"/>
    <x v="7"/>
    <x v="4"/>
    <x v="7"/>
    <x v="559"/>
    <x v="0"/>
    <x v="9"/>
    <x v="0"/>
    <n v="69560"/>
  </r>
  <r>
    <s v="CSKU07604_2ES"/>
    <x v="2"/>
    <x v="1"/>
    <x v="0"/>
    <x v="4"/>
    <x v="1"/>
    <x v="7"/>
    <x v="559"/>
    <x v="0"/>
    <x v="9"/>
    <x v="0"/>
    <n v="73420"/>
  </r>
  <r>
    <s v="CSKU07605_2ES"/>
    <x v="2"/>
    <x v="1"/>
    <x v="0"/>
    <x v="0"/>
    <x v="1"/>
    <x v="7"/>
    <x v="559"/>
    <x v="0"/>
    <x v="9"/>
    <x v="0"/>
    <n v="76950"/>
  </r>
  <r>
    <s v="CSKU07606_2ES"/>
    <x v="2"/>
    <x v="1"/>
    <x v="0"/>
    <x v="7"/>
    <x v="1"/>
    <x v="7"/>
    <x v="559"/>
    <x v="0"/>
    <x v="9"/>
    <x v="0"/>
    <n v="80500"/>
  </r>
  <r>
    <s v="CSKU07709_2ES"/>
    <x v="2"/>
    <x v="1"/>
    <x v="0"/>
    <x v="4"/>
    <x v="4"/>
    <x v="7"/>
    <x v="560"/>
    <x v="0"/>
    <x v="9"/>
    <x v="0"/>
    <n v="53860"/>
  </r>
  <r>
    <s v="CSKU08834_2ES"/>
    <x v="2"/>
    <x v="1"/>
    <x v="1"/>
    <x v="4"/>
    <x v="1"/>
    <x v="7"/>
    <x v="556"/>
    <x v="1"/>
    <x v="9"/>
    <x v="0"/>
    <n v="82040"/>
  </r>
  <r>
    <s v="CSKU08835_2ES"/>
    <x v="2"/>
    <x v="1"/>
    <x v="1"/>
    <x v="0"/>
    <x v="1"/>
    <x v="7"/>
    <x v="556"/>
    <x v="1"/>
    <x v="9"/>
    <x v="0"/>
    <n v="86000"/>
  </r>
  <r>
    <s v="CSKU08836_2ES"/>
    <x v="2"/>
    <x v="1"/>
    <x v="1"/>
    <x v="7"/>
    <x v="1"/>
    <x v="7"/>
    <x v="556"/>
    <x v="1"/>
    <x v="9"/>
    <x v="0"/>
    <n v="89980"/>
  </r>
  <r>
    <s v="CSKU07786_2ES"/>
    <x v="2"/>
    <x v="1"/>
    <x v="0"/>
    <x v="7"/>
    <x v="1"/>
    <x v="7"/>
    <x v="526"/>
    <x v="0"/>
    <x v="9"/>
    <x v="0"/>
    <n v="74580"/>
  </r>
  <r>
    <s v="CSKU07787_2ES"/>
    <x v="2"/>
    <x v="1"/>
    <x v="1"/>
    <x v="4"/>
    <x v="4"/>
    <x v="7"/>
    <x v="526"/>
    <x v="1"/>
    <x v="9"/>
    <x v="0"/>
    <n v="61400"/>
  </r>
  <r>
    <s v="CSKU07788_2ES"/>
    <x v="2"/>
    <x v="1"/>
    <x v="1"/>
    <x v="0"/>
    <x v="4"/>
    <x v="7"/>
    <x v="526"/>
    <x v="1"/>
    <x v="9"/>
    <x v="0"/>
    <n v="65360"/>
  </r>
  <r>
    <s v="CSKU07789_2ES"/>
    <x v="2"/>
    <x v="1"/>
    <x v="1"/>
    <x v="7"/>
    <x v="4"/>
    <x v="7"/>
    <x v="526"/>
    <x v="1"/>
    <x v="9"/>
    <x v="0"/>
    <n v="69340"/>
  </r>
  <r>
    <s v="CSKU07790_2ES"/>
    <x v="2"/>
    <x v="1"/>
    <x v="1"/>
    <x v="4"/>
    <x v="1"/>
    <x v="7"/>
    <x v="526"/>
    <x v="1"/>
    <x v="9"/>
    <x v="0"/>
    <n v="72600"/>
  </r>
  <r>
    <s v="CSKU07791_2ES"/>
    <x v="2"/>
    <x v="1"/>
    <x v="1"/>
    <x v="0"/>
    <x v="1"/>
    <x v="7"/>
    <x v="526"/>
    <x v="1"/>
    <x v="9"/>
    <x v="0"/>
    <n v="76560"/>
  </r>
  <r>
    <s v="CSKU07792_2ES"/>
    <x v="2"/>
    <x v="1"/>
    <x v="1"/>
    <x v="7"/>
    <x v="1"/>
    <x v="7"/>
    <x v="526"/>
    <x v="1"/>
    <x v="9"/>
    <x v="0"/>
    <n v="80540"/>
  </r>
  <r>
    <s v="CSKU07889_2ES"/>
    <x v="2"/>
    <x v="1"/>
    <x v="0"/>
    <x v="4"/>
    <x v="4"/>
    <x v="7"/>
    <x v="561"/>
    <x v="0"/>
    <x v="9"/>
    <x v="0"/>
    <n v="57140"/>
  </r>
  <r>
    <s v="CSKU07890_2ES"/>
    <x v="2"/>
    <x v="1"/>
    <x v="0"/>
    <x v="0"/>
    <x v="4"/>
    <x v="7"/>
    <x v="561"/>
    <x v="0"/>
    <x v="9"/>
    <x v="0"/>
    <n v="60670"/>
  </r>
  <r>
    <s v="CSKU07891_2ES"/>
    <x v="2"/>
    <x v="1"/>
    <x v="0"/>
    <x v="7"/>
    <x v="4"/>
    <x v="7"/>
    <x v="561"/>
    <x v="0"/>
    <x v="9"/>
    <x v="0"/>
    <n v="64240"/>
  </r>
  <r>
    <s v="CSKU07892_2ES"/>
    <x v="2"/>
    <x v="1"/>
    <x v="0"/>
    <x v="4"/>
    <x v="1"/>
    <x v="7"/>
    <x v="561"/>
    <x v="0"/>
    <x v="9"/>
    <x v="0"/>
    <n v="67500"/>
  </r>
  <r>
    <s v="CSKU06170_2ES"/>
    <x v="2"/>
    <x v="1"/>
    <x v="1"/>
    <x v="4"/>
    <x v="1"/>
    <x v="7"/>
    <x v="527"/>
    <x v="1"/>
    <x v="9"/>
    <x v="0"/>
    <n v="72600"/>
  </r>
  <r>
    <s v="CSKU06171_2ES"/>
    <x v="2"/>
    <x v="1"/>
    <x v="1"/>
    <x v="0"/>
    <x v="1"/>
    <x v="7"/>
    <x v="527"/>
    <x v="1"/>
    <x v="9"/>
    <x v="0"/>
    <n v="76560"/>
  </r>
  <r>
    <s v="CSKU06172_2ES"/>
    <x v="2"/>
    <x v="1"/>
    <x v="1"/>
    <x v="7"/>
    <x v="1"/>
    <x v="7"/>
    <x v="527"/>
    <x v="1"/>
    <x v="9"/>
    <x v="0"/>
    <n v="80540"/>
  </r>
  <r>
    <s v="CSKU06241_2ES"/>
    <x v="2"/>
    <x v="1"/>
    <x v="1"/>
    <x v="7"/>
    <x v="4"/>
    <x v="7"/>
    <x v="528"/>
    <x v="1"/>
    <x v="9"/>
    <x v="0"/>
    <n v="69340"/>
  </r>
  <r>
    <s v="CSKU06242_2ES"/>
    <x v="2"/>
    <x v="1"/>
    <x v="1"/>
    <x v="4"/>
    <x v="1"/>
    <x v="7"/>
    <x v="528"/>
    <x v="1"/>
    <x v="9"/>
    <x v="0"/>
    <n v="72600"/>
  </r>
  <r>
    <s v="CSKU06243_2ES"/>
    <x v="2"/>
    <x v="1"/>
    <x v="1"/>
    <x v="0"/>
    <x v="1"/>
    <x v="7"/>
    <x v="528"/>
    <x v="1"/>
    <x v="9"/>
    <x v="0"/>
    <n v="76560"/>
  </r>
  <r>
    <s v="CSKU06244_2ES"/>
    <x v="2"/>
    <x v="1"/>
    <x v="1"/>
    <x v="7"/>
    <x v="1"/>
    <x v="7"/>
    <x v="528"/>
    <x v="1"/>
    <x v="9"/>
    <x v="0"/>
    <n v="80540"/>
  </r>
  <r>
    <s v="CSKU06309_2ES"/>
    <x v="2"/>
    <x v="1"/>
    <x v="0"/>
    <x v="0"/>
    <x v="1"/>
    <x v="7"/>
    <x v="529"/>
    <x v="0"/>
    <x v="9"/>
    <x v="0"/>
    <n v="71030"/>
  </r>
  <r>
    <s v="CSKU06310_2ES"/>
    <x v="2"/>
    <x v="1"/>
    <x v="0"/>
    <x v="7"/>
    <x v="1"/>
    <x v="7"/>
    <x v="529"/>
    <x v="0"/>
    <x v="9"/>
    <x v="0"/>
    <n v="74580"/>
  </r>
  <r>
    <s v="CSKU06311_2ES"/>
    <x v="2"/>
    <x v="1"/>
    <x v="1"/>
    <x v="4"/>
    <x v="4"/>
    <x v="7"/>
    <x v="529"/>
    <x v="1"/>
    <x v="9"/>
    <x v="0"/>
    <n v="61400"/>
  </r>
  <r>
    <s v="CSKU06312_2ES"/>
    <x v="2"/>
    <x v="1"/>
    <x v="1"/>
    <x v="0"/>
    <x v="4"/>
    <x v="7"/>
    <x v="529"/>
    <x v="1"/>
    <x v="9"/>
    <x v="0"/>
    <n v="65360"/>
  </r>
  <r>
    <s v="CSKU06313_2ES"/>
    <x v="2"/>
    <x v="1"/>
    <x v="1"/>
    <x v="7"/>
    <x v="4"/>
    <x v="7"/>
    <x v="529"/>
    <x v="1"/>
    <x v="9"/>
    <x v="0"/>
    <n v="69340"/>
  </r>
  <r>
    <s v="CSKU06314_2ES"/>
    <x v="2"/>
    <x v="1"/>
    <x v="1"/>
    <x v="4"/>
    <x v="1"/>
    <x v="7"/>
    <x v="529"/>
    <x v="1"/>
    <x v="9"/>
    <x v="0"/>
    <n v="72600"/>
  </r>
  <r>
    <s v="CSKU06315_2ES"/>
    <x v="2"/>
    <x v="1"/>
    <x v="1"/>
    <x v="0"/>
    <x v="1"/>
    <x v="7"/>
    <x v="529"/>
    <x v="1"/>
    <x v="9"/>
    <x v="0"/>
    <n v="76560"/>
  </r>
  <r>
    <s v="CSKU06316_2ES"/>
    <x v="2"/>
    <x v="1"/>
    <x v="1"/>
    <x v="7"/>
    <x v="1"/>
    <x v="7"/>
    <x v="529"/>
    <x v="1"/>
    <x v="9"/>
    <x v="0"/>
    <n v="80540"/>
  </r>
  <r>
    <s v="CSKU06379_2ES"/>
    <x v="2"/>
    <x v="1"/>
    <x v="0"/>
    <x v="7"/>
    <x v="4"/>
    <x v="7"/>
    <x v="530"/>
    <x v="0"/>
    <x v="9"/>
    <x v="0"/>
    <n v="64240"/>
  </r>
  <r>
    <s v="CSKU06380_2ES"/>
    <x v="2"/>
    <x v="1"/>
    <x v="0"/>
    <x v="4"/>
    <x v="1"/>
    <x v="7"/>
    <x v="530"/>
    <x v="0"/>
    <x v="9"/>
    <x v="0"/>
    <n v="67500"/>
  </r>
  <r>
    <s v="CSKU06381_2ES"/>
    <x v="2"/>
    <x v="1"/>
    <x v="0"/>
    <x v="0"/>
    <x v="1"/>
    <x v="7"/>
    <x v="530"/>
    <x v="0"/>
    <x v="9"/>
    <x v="0"/>
    <n v="71030"/>
  </r>
  <r>
    <s v="CSKU06382_2ES"/>
    <x v="2"/>
    <x v="1"/>
    <x v="0"/>
    <x v="7"/>
    <x v="1"/>
    <x v="7"/>
    <x v="530"/>
    <x v="0"/>
    <x v="9"/>
    <x v="0"/>
    <n v="74580"/>
  </r>
  <r>
    <s v="CSKU06383_2ES"/>
    <x v="2"/>
    <x v="1"/>
    <x v="1"/>
    <x v="4"/>
    <x v="4"/>
    <x v="7"/>
    <x v="530"/>
    <x v="1"/>
    <x v="9"/>
    <x v="0"/>
    <n v="61400"/>
  </r>
  <r>
    <s v="CSKU06384_2ES"/>
    <x v="2"/>
    <x v="1"/>
    <x v="1"/>
    <x v="0"/>
    <x v="4"/>
    <x v="7"/>
    <x v="530"/>
    <x v="1"/>
    <x v="9"/>
    <x v="0"/>
    <n v="65360"/>
  </r>
  <r>
    <s v="CSKU06385_2ES"/>
    <x v="2"/>
    <x v="1"/>
    <x v="1"/>
    <x v="7"/>
    <x v="4"/>
    <x v="7"/>
    <x v="530"/>
    <x v="1"/>
    <x v="9"/>
    <x v="0"/>
    <n v="69340"/>
  </r>
  <r>
    <s v="CSKU06386_2ES"/>
    <x v="2"/>
    <x v="1"/>
    <x v="1"/>
    <x v="4"/>
    <x v="1"/>
    <x v="7"/>
    <x v="530"/>
    <x v="1"/>
    <x v="9"/>
    <x v="0"/>
    <n v="72600"/>
  </r>
  <r>
    <s v="CSKU06387_2ES"/>
    <x v="2"/>
    <x v="1"/>
    <x v="1"/>
    <x v="0"/>
    <x v="1"/>
    <x v="7"/>
    <x v="530"/>
    <x v="1"/>
    <x v="9"/>
    <x v="0"/>
    <n v="76560"/>
  </r>
  <r>
    <s v="CSKU06450_2ES"/>
    <x v="2"/>
    <x v="1"/>
    <x v="0"/>
    <x v="0"/>
    <x v="4"/>
    <x v="7"/>
    <x v="544"/>
    <x v="0"/>
    <x v="9"/>
    <x v="0"/>
    <n v="52070"/>
  </r>
  <r>
    <s v="CSKU06451_2ES"/>
    <x v="2"/>
    <x v="1"/>
    <x v="0"/>
    <x v="7"/>
    <x v="4"/>
    <x v="7"/>
    <x v="544"/>
    <x v="0"/>
    <x v="9"/>
    <x v="0"/>
    <n v="55640"/>
  </r>
  <r>
    <s v="CSKU06452_2ES"/>
    <x v="2"/>
    <x v="1"/>
    <x v="0"/>
    <x v="4"/>
    <x v="1"/>
    <x v="7"/>
    <x v="544"/>
    <x v="0"/>
    <x v="9"/>
    <x v="0"/>
    <n v="56520"/>
  </r>
  <r>
    <s v="CSKU06453_2ES"/>
    <x v="2"/>
    <x v="1"/>
    <x v="0"/>
    <x v="0"/>
    <x v="1"/>
    <x v="7"/>
    <x v="544"/>
    <x v="0"/>
    <x v="9"/>
    <x v="0"/>
    <n v="60050"/>
  </r>
  <r>
    <s v="CSKU06454_2ES"/>
    <x v="2"/>
    <x v="1"/>
    <x v="0"/>
    <x v="7"/>
    <x v="1"/>
    <x v="7"/>
    <x v="544"/>
    <x v="0"/>
    <x v="9"/>
    <x v="0"/>
    <n v="63600"/>
  </r>
  <r>
    <s v="CSKU06455_2ES"/>
    <x v="2"/>
    <x v="1"/>
    <x v="1"/>
    <x v="4"/>
    <x v="4"/>
    <x v="7"/>
    <x v="544"/>
    <x v="1"/>
    <x v="9"/>
    <x v="0"/>
    <n v="52800"/>
  </r>
  <r>
    <s v="CSKU06456_2ES"/>
    <x v="2"/>
    <x v="1"/>
    <x v="1"/>
    <x v="0"/>
    <x v="4"/>
    <x v="7"/>
    <x v="544"/>
    <x v="1"/>
    <x v="9"/>
    <x v="0"/>
    <n v="56760"/>
  </r>
  <r>
    <s v="CSKU06457_2ES"/>
    <x v="2"/>
    <x v="1"/>
    <x v="1"/>
    <x v="7"/>
    <x v="4"/>
    <x v="7"/>
    <x v="544"/>
    <x v="1"/>
    <x v="9"/>
    <x v="0"/>
    <n v="60740"/>
  </r>
  <r>
    <s v="CSKU06458_2ES"/>
    <x v="2"/>
    <x v="1"/>
    <x v="1"/>
    <x v="4"/>
    <x v="1"/>
    <x v="7"/>
    <x v="544"/>
    <x v="1"/>
    <x v="9"/>
    <x v="0"/>
    <n v="61620"/>
  </r>
  <r>
    <s v="CSKU06521_2ES"/>
    <x v="2"/>
    <x v="1"/>
    <x v="0"/>
    <x v="4"/>
    <x v="4"/>
    <x v="7"/>
    <x v="562"/>
    <x v="0"/>
    <x v="9"/>
    <x v="0"/>
    <n v="62460"/>
  </r>
  <r>
    <s v="CSKU06522_2ES"/>
    <x v="2"/>
    <x v="1"/>
    <x v="0"/>
    <x v="0"/>
    <x v="4"/>
    <x v="7"/>
    <x v="562"/>
    <x v="0"/>
    <x v="9"/>
    <x v="0"/>
    <n v="65990"/>
  </r>
  <r>
    <s v="CSKU06523_2ES"/>
    <x v="2"/>
    <x v="1"/>
    <x v="0"/>
    <x v="7"/>
    <x v="4"/>
    <x v="7"/>
    <x v="562"/>
    <x v="0"/>
    <x v="9"/>
    <x v="0"/>
    <n v="69560"/>
  </r>
  <r>
    <s v="CSKU06524_2ES"/>
    <x v="2"/>
    <x v="1"/>
    <x v="0"/>
    <x v="4"/>
    <x v="1"/>
    <x v="7"/>
    <x v="562"/>
    <x v="0"/>
    <x v="9"/>
    <x v="0"/>
    <n v="73420"/>
  </r>
  <r>
    <s v="CSKU06525_2ES"/>
    <x v="2"/>
    <x v="1"/>
    <x v="0"/>
    <x v="0"/>
    <x v="1"/>
    <x v="7"/>
    <x v="562"/>
    <x v="0"/>
    <x v="9"/>
    <x v="0"/>
    <n v="76950"/>
  </r>
  <r>
    <s v="CSKU06593_2ES"/>
    <x v="2"/>
    <x v="1"/>
    <x v="0"/>
    <x v="4"/>
    <x v="4"/>
    <x v="7"/>
    <x v="563"/>
    <x v="0"/>
    <x v="9"/>
    <x v="0"/>
    <n v="73400"/>
  </r>
  <r>
    <s v="CSKU06594_2ES"/>
    <x v="2"/>
    <x v="1"/>
    <x v="0"/>
    <x v="0"/>
    <x v="4"/>
    <x v="7"/>
    <x v="563"/>
    <x v="0"/>
    <x v="9"/>
    <x v="0"/>
    <n v="76930"/>
  </r>
  <r>
    <s v="CSKU04901_2ES"/>
    <x v="2"/>
    <x v="1"/>
    <x v="0"/>
    <x v="4"/>
    <x v="4"/>
    <x v="7"/>
    <x v="564"/>
    <x v="0"/>
    <x v="9"/>
    <x v="0"/>
    <n v="51520"/>
  </r>
  <r>
    <s v="CSKU04902_2ES"/>
    <x v="2"/>
    <x v="1"/>
    <x v="0"/>
    <x v="0"/>
    <x v="4"/>
    <x v="7"/>
    <x v="564"/>
    <x v="0"/>
    <x v="9"/>
    <x v="0"/>
    <n v="55050"/>
  </r>
  <r>
    <s v="CSKU04903_2ES"/>
    <x v="2"/>
    <x v="1"/>
    <x v="0"/>
    <x v="7"/>
    <x v="4"/>
    <x v="7"/>
    <x v="564"/>
    <x v="0"/>
    <x v="9"/>
    <x v="0"/>
    <n v="58620"/>
  </r>
  <r>
    <s v="CSKU04904_2ES"/>
    <x v="2"/>
    <x v="1"/>
    <x v="0"/>
    <x v="4"/>
    <x v="1"/>
    <x v="7"/>
    <x v="564"/>
    <x v="0"/>
    <x v="9"/>
    <x v="0"/>
    <n v="59820"/>
  </r>
  <r>
    <s v="CSKU04905_2ES"/>
    <x v="2"/>
    <x v="1"/>
    <x v="0"/>
    <x v="0"/>
    <x v="1"/>
    <x v="7"/>
    <x v="564"/>
    <x v="0"/>
    <x v="9"/>
    <x v="0"/>
    <n v="63350"/>
  </r>
  <r>
    <s v="CSKU04906_2ES"/>
    <x v="2"/>
    <x v="1"/>
    <x v="0"/>
    <x v="7"/>
    <x v="1"/>
    <x v="7"/>
    <x v="564"/>
    <x v="0"/>
    <x v="9"/>
    <x v="0"/>
    <n v="66900"/>
  </r>
  <r>
    <s v="CSKU04907_2ES"/>
    <x v="2"/>
    <x v="1"/>
    <x v="1"/>
    <x v="4"/>
    <x v="4"/>
    <x v="7"/>
    <x v="564"/>
    <x v="1"/>
    <x v="9"/>
    <x v="0"/>
    <n v="55140"/>
  </r>
  <r>
    <s v="CSKU04908_2ES"/>
    <x v="2"/>
    <x v="1"/>
    <x v="1"/>
    <x v="0"/>
    <x v="4"/>
    <x v="7"/>
    <x v="564"/>
    <x v="1"/>
    <x v="9"/>
    <x v="0"/>
    <n v="59100"/>
  </r>
  <r>
    <s v="CSKU04909_2ES"/>
    <x v="2"/>
    <x v="1"/>
    <x v="1"/>
    <x v="7"/>
    <x v="4"/>
    <x v="7"/>
    <x v="564"/>
    <x v="1"/>
    <x v="9"/>
    <x v="0"/>
    <n v="63080"/>
  </r>
  <r>
    <s v="CSKU04910_2ES"/>
    <x v="2"/>
    <x v="1"/>
    <x v="1"/>
    <x v="4"/>
    <x v="1"/>
    <x v="7"/>
    <x v="564"/>
    <x v="1"/>
    <x v="9"/>
    <x v="0"/>
    <n v="64280"/>
  </r>
  <r>
    <s v="CSKU04911_2ES"/>
    <x v="2"/>
    <x v="1"/>
    <x v="1"/>
    <x v="0"/>
    <x v="1"/>
    <x v="7"/>
    <x v="564"/>
    <x v="1"/>
    <x v="9"/>
    <x v="0"/>
    <n v="68240"/>
  </r>
  <r>
    <s v="CSKU04912_2ES"/>
    <x v="2"/>
    <x v="1"/>
    <x v="1"/>
    <x v="7"/>
    <x v="1"/>
    <x v="7"/>
    <x v="564"/>
    <x v="1"/>
    <x v="9"/>
    <x v="0"/>
    <n v="72220"/>
  </r>
  <r>
    <s v="CSKU06782_2ES"/>
    <x v="2"/>
    <x v="1"/>
    <x v="1"/>
    <x v="0"/>
    <x v="1"/>
    <x v="7"/>
    <x v="532"/>
    <x v="1"/>
    <x v="9"/>
    <x v="0"/>
    <n v="84460"/>
  </r>
  <r>
    <s v="CSKU06783_2ES"/>
    <x v="2"/>
    <x v="1"/>
    <x v="1"/>
    <x v="7"/>
    <x v="4"/>
    <x v="7"/>
    <x v="532"/>
    <x v="1"/>
    <x v="9"/>
    <x v="0"/>
    <n v="76360"/>
  </r>
  <r>
    <s v="CSKU06784_2ES"/>
    <x v="2"/>
    <x v="1"/>
    <x v="1"/>
    <x v="7"/>
    <x v="1"/>
    <x v="7"/>
    <x v="532"/>
    <x v="1"/>
    <x v="9"/>
    <x v="0"/>
    <n v="88440"/>
  </r>
  <r>
    <s v="CSKU05227_2ES"/>
    <x v="2"/>
    <x v="1"/>
    <x v="0"/>
    <x v="7"/>
    <x v="4"/>
    <x v="7"/>
    <x v="534"/>
    <x v="0"/>
    <x v="9"/>
    <x v="0"/>
    <n v="60960"/>
  </r>
  <r>
    <s v="CSKU05228_2ES"/>
    <x v="2"/>
    <x v="1"/>
    <x v="0"/>
    <x v="4"/>
    <x v="1"/>
    <x v="7"/>
    <x v="534"/>
    <x v="0"/>
    <x v="9"/>
    <x v="0"/>
    <n v="62440"/>
  </r>
  <r>
    <s v="CSKU05229_2ES"/>
    <x v="2"/>
    <x v="1"/>
    <x v="0"/>
    <x v="0"/>
    <x v="1"/>
    <x v="7"/>
    <x v="534"/>
    <x v="0"/>
    <x v="9"/>
    <x v="0"/>
    <n v="65970"/>
  </r>
  <r>
    <s v="CSKU05230_2ES"/>
    <x v="2"/>
    <x v="1"/>
    <x v="0"/>
    <x v="7"/>
    <x v="1"/>
    <x v="7"/>
    <x v="534"/>
    <x v="0"/>
    <x v="9"/>
    <x v="0"/>
    <n v="69520"/>
  </r>
  <r>
    <s v="CSKU05231_2ES"/>
    <x v="2"/>
    <x v="1"/>
    <x v="1"/>
    <x v="4"/>
    <x v="4"/>
    <x v="7"/>
    <x v="534"/>
    <x v="1"/>
    <x v="9"/>
    <x v="0"/>
    <n v="57480"/>
  </r>
  <r>
    <s v="CSKU05232_2ES"/>
    <x v="2"/>
    <x v="1"/>
    <x v="1"/>
    <x v="4"/>
    <x v="1"/>
    <x v="7"/>
    <x v="534"/>
    <x v="1"/>
    <x v="9"/>
    <x v="0"/>
    <n v="66900"/>
  </r>
  <r>
    <s v="CSKU05233_2ES"/>
    <x v="2"/>
    <x v="1"/>
    <x v="1"/>
    <x v="0"/>
    <x v="4"/>
    <x v="7"/>
    <x v="534"/>
    <x v="1"/>
    <x v="9"/>
    <x v="0"/>
    <n v="61440"/>
  </r>
  <r>
    <s v="CSKU05234_2ES"/>
    <x v="2"/>
    <x v="1"/>
    <x v="1"/>
    <x v="0"/>
    <x v="1"/>
    <x v="7"/>
    <x v="534"/>
    <x v="1"/>
    <x v="9"/>
    <x v="0"/>
    <n v="70860"/>
  </r>
  <r>
    <s v="CSKU05235_2ES"/>
    <x v="2"/>
    <x v="1"/>
    <x v="1"/>
    <x v="7"/>
    <x v="4"/>
    <x v="7"/>
    <x v="534"/>
    <x v="1"/>
    <x v="9"/>
    <x v="0"/>
    <n v="65420"/>
  </r>
  <r>
    <s v="CSKU05236_2ES"/>
    <x v="2"/>
    <x v="1"/>
    <x v="1"/>
    <x v="7"/>
    <x v="1"/>
    <x v="7"/>
    <x v="534"/>
    <x v="1"/>
    <x v="9"/>
    <x v="0"/>
    <n v="74840"/>
  </r>
  <r>
    <s v="CSKU05441_2ES"/>
    <x v="2"/>
    <x v="1"/>
    <x v="0"/>
    <x v="4"/>
    <x v="4"/>
    <x v="7"/>
    <x v="565"/>
    <x v="0"/>
    <x v="9"/>
    <x v="0"/>
    <n v="56200"/>
  </r>
  <r>
    <s v="CSKU05442_2ES"/>
    <x v="2"/>
    <x v="1"/>
    <x v="0"/>
    <x v="0"/>
    <x v="4"/>
    <x v="7"/>
    <x v="565"/>
    <x v="0"/>
    <x v="9"/>
    <x v="0"/>
    <n v="59730"/>
  </r>
  <r>
    <s v="CSKU05443_2ES"/>
    <x v="2"/>
    <x v="1"/>
    <x v="0"/>
    <x v="7"/>
    <x v="4"/>
    <x v="7"/>
    <x v="565"/>
    <x v="0"/>
    <x v="9"/>
    <x v="0"/>
    <n v="63300"/>
  </r>
  <r>
    <s v="CSKU05444_2ES"/>
    <x v="2"/>
    <x v="1"/>
    <x v="0"/>
    <x v="4"/>
    <x v="1"/>
    <x v="7"/>
    <x v="565"/>
    <x v="0"/>
    <x v="9"/>
    <x v="0"/>
    <n v="65060"/>
  </r>
  <r>
    <s v="CSKU06850_2ES"/>
    <x v="2"/>
    <x v="1"/>
    <x v="0"/>
    <x v="7"/>
    <x v="1"/>
    <x v="7"/>
    <x v="533"/>
    <x v="0"/>
    <x v="9"/>
    <x v="0"/>
    <n v="69520"/>
  </r>
  <r>
    <s v="CSKU06851_2ES"/>
    <x v="2"/>
    <x v="1"/>
    <x v="1"/>
    <x v="4"/>
    <x v="4"/>
    <x v="7"/>
    <x v="533"/>
    <x v="1"/>
    <x v="9"/>
    <x v="0"/>
    <n v="57480"/>
  </r>
  <r>
    <s v="CSKU06852_2ES"/>
    <x v="2"/>
    <x v="1"/>
    <x v="1"/>
    <x v="4"/>
    <x v="1"/>
    <x v="7"/>
    <x v="533"/>
    <x v="1"/>
    <x v="9"/>
    <x v="0"/>
    <n v="66900"/>
  </r>
  <r>
    <s v="CSKU06853_2ES"/>
    <x v="2"/>
    <x v="1"/>
    <x v="1"/>
    <x v="0"/>
    <x v="4"/>
    <x v="7"/>
    <x v="533"/>
    <x v="1"/>
    <x v="9"/>
    <x v="0"/>
    <n v="61440"/>
  </r>
  <r>
    <s v="CSKU06854_2ES"/>
    <x v="2"/>
    <x v="1"/>
    <x v="1"/>
    <x v="0"/>
    <x v="1"/>
    <x v="7"/>
    <x v="533"/>
    <x v="1"/>
    <x v="9"/>
    <x v="0"/>
    <n v="70860"/>
  </r>
  <r>
    <s v="CSKU06855_2ES"/>
    <x v="2"/>
    <x v="1"/>
    <x v="1"/>
    <x v="7"/>
    <x v="4"/>
    <x v="7"/>
    <x v="533"/>
    <x v="1"/>
    <x v="9"/>
    <x v="0"/>
    <n v="65420"/>
  </r>
  <r>
    <s v="CSKU06856_2ES"/>
    <x v="2"/>
    <x v="1"/>
    <x v="1"/>
    <x v="7"/>
    <x v="1"/>
    <x v="7"/>
    <x v="533"/>
    <x v="1"/>
    <x v="9"/>
    <x v="0"/>
    <n v="74840"/>
  </r>
  <r>
    <s v="CSKU02637_3EK"/>
    <x v="1"/>
    <x v="0"/>
    <x v="0"/>
    <x v="6"/>
    <x v="4"/>
    <x v="6"/>
    <x v="537"/>
    <x v="0"/>
    <x v="7"/>
    <x v="0"/>
    <n v="24580"/>
  </r>
  <r>
    <s v="CSKU02638_3EK"/>
    <x v="1"/>
    <x v="0"/>
    <x v="0"/>
    <x v="6"/>
    <x v="4"/>
    <x v="1"/>
    <x v="537"/>
    <x v="0"/>
    <x v="8"/>
    <x v="0"/>
    <n v="27450"/>
  </r>
  <r>
    <s v="CSKU02639_3EK"/>
    <x v="1"/>
    <x v="0"/>
    <x v="0"/>
    <x v="6"/>
    <x v="1"/>
    <x v="6"/>
    <x v="537"/>
    <x v="0"/>
    <x v="7"/>
    <x v="0"/>
    <n v="26180"/>
  </r>
  <r>
    <s v="CSKU02640_3EK"/>
    <x v="1"/>
    <x v="0"/>
    <x v="0"/>
    <x v="6"/>
    <x v="1"/>
    <x v="1"/>
    <x v="537"/>
    <x v="0"/>
    <x v="8"/>
    <x v="0"/>
    <n v="30170"/>
  </r>
  <r>
    <s v="CSKU02641_3EK"/>
    <x v="1"/>
    <x v="0"/>
    <x v="0"/>
    <x v="2"/>
    <x v="4"/>
    <x v="6"/>
    <x v="537"/>
    <x v="0"/>
    <x v="7"/>
    <x v="0"/>
    <n v="27760"/>
  </r>
  <r>
    <s v="CSKU02642_3EK"/>
    <x v="1"/>
    <x v="0"/>
    <x v="0"/>
    <x v="2"/>
    <x v="4"/>
    <x v="1"/>
    <x v="537"/>
    <x v="0"/>
    <x v="8"/>
    <x v="0"/>
    <n v="30770"/>
  </r>
  <r>
    <s v="CSKU02643_3EK"/>
    <x v="1"/>
    <x v="0"/>
    <x v="0"/>
    <x v="2"/>
    <x v="1"/>
    <x v="6"/>
    <x v="537"/>
    <x v="0"/>
    <x v="7"/>
    <x v="0"/>
    <n v="29360"/>
  </r>
  <r>
    <s v="CSKU02644_3EK"/>
    <x v="1"/>
    <x v="0"/>
    <x v="0"/>
    <x v="2"/>
    <x v="1"/>
    <x v="1"/>
    <x v="537"/>
    <x v="0"/>
    <x v="8"/>
    <x v="0"/>
    <n v="33490"/>
  </r>
  <r>
    <s v="CSKU02645_3EK"/>
    <x v="1"/>
    <x v="0"/>
    <x v="1"/>
    <x v="0"/>
    <x v="4"/>
    <x v="6"/>
    <x v="537"/>
    <x v="1"/>
    <x v="7"/>
    <x v="0"/>
    <n v="23360"/>
  </r>
  <r>
    <s v="CSKU02646_3EK"/>
    <x v="1"/>
    <x v="0"/>
    <x v="1"/>
    <x v="0"/>
    <x v="4"/>
    <x v="1"/>
    <x v="537"/>
    <x v="1"/>
    <x v="8"/>
    <x v="0"/>
    <n v="26560"/>
  </r>
  <r>
    <s v="CSKU02647_3EK"/>
    <x v="1"/>
    <x v="0"/>
    <x v="1"/>
    <x v="0"/>
    <x v="1"/>
    <x v="6"/>
    <x v="537"/>
    <x v="1"/>
    <x v="7"/>
    <x v="0"/>
    <n v="24830"/>
  </r>
  <r>
    <s v="CSKU02903_3EK"/>
    <x v="1"/>
    <x v="0"/>
    <x v="0"/>
    <x v="0"/>
    <x v="4"/>
    <x v="6"/>
    <x v="566"/>
    <x v="0"/>
    <x v="7"/>
    <x v="0"/>
    <n v="27730"/>
  </r>
  <r>
    <s v="CSKU02904_3EK"/>
    <x v="1"/>
    <x v="0"/>
    <x v="0"/>
    <x v="0"/>
    <x v="4"/>
    <x v="1"/>
    <x v="566"/>
    <x v="0"/>
    <x v="8"/>
    <x v="0"/>
    <n v="30600"/>
  </r>
  <r>
    <s v="CSKU02905_3EK"/>
    <x v="1"/>
    <x v="0"/>
    <x v="0"/>
    <x v="0"/>
    <x v="1"/>
    <x v="6"/>
    <x v="566"/>
    <x v="0"/>
    <x v="7"/>
    <x v="0"/>
    <n v="29550"/>
  </r>
  <r>
    <s v="CSKU02906_3EK"/>
    <x v="1"/>
    <x v="0"/>
    <x v="0"/>
    <x v="0"/>
    <x v="1"/>
    <x v="1"/>
    <x v="566"/>
    <x v="0"/>
    <x v="8"/>
    <x v="0"/>
    <n v="33320"/>
  </r>
  <r>
    <s v="CSKU02907_3EK"/>
    <x v="1"/>
    <x v="0"/>
    <x v="0"/>
    <x v="6"/>
    <x v="4"/>
    <x v="6"/>
    <x v="566"/>
    <x v="0"/>
    <x v="7"/>
    <x v="0"/>
    <n v="32560"/>
  </r>
  <r>
    <s v="CSKU02908_3EK"/>
    <x v="1"/>
    <x v="0"/>
    <x v="0"/>
    <x v="6"/>
    <x v="4"/>
    <x v="1"/>
    <x v="566"/>
    <x v="0"/>
    <x v="8"/>
    <x v="0"/>
    <n v="35430"/>
  </r>
  <r>
    <s v="CSKU02909_3EK"/>
    <x v="1"/>
    <x v="0"/>
    <x v="0"/>
    <x v="6"/>
    <x v="1"/>
    <x v="6"/>
    <x v="566"/>
    <x v="0"/>
    <x v="7"/>
    <x v="0"/>
    <n v="34740"/>
  </r>
  <r>
    <s v="CSKU02910_3EK"/>
    <x v="1"/>
    <x v="0"/>
    <x v="0"/>
    <x v="6"/>
    <x v="1"/>
    <x v="1"/>
    <x v="566"/>
    <x v="0"/>
    <x v="8"/>
    <x v="0"/>
    <n v="38730"/>
  </r>
  <r>
    <s v="CSKU02911_3EK"/>
    <x v="1"/>
    <x v="0"/>
    <x v="0"/>
    <x v="2"/>
    <x v="4"/>
    <x v="6"/>
    <x v="566"/>
    <x v="0"/>
    <x v="7"/>
    <x v="0"/>
    <n v="37390"/>
  </r>
  <r>
    <s v="CSKU03536_3EK"/>
    <x v="1"/>
    <x v="0"/>
    <x v="0"/>
    <x v="0"/>
    <x v="1"/>
    <x v="1"/>
    <x v="535"/>
    <x v="0"/>
    <x v="8"/>
    <x v="0"/>
    <n v="33320"/>
  </r>
  <r>
    <s v="CSKU03537_3EK"/>
    <x v="1"/>
    <x v="0"/>
    <x v="0"/>
    <x v="6"/>
    <x v="4"/>
    <x v="6"/>
    <x v="535"/>
    <x v="0"/>
    <x v="7"/>
    <x v="0"/>
    <n v="32560"/>
  </r>
  <r>
    <s v="CSKU03538_3EK"/>
    <x v="1"/>
    <x v="0"/>
    <x v="0"/>
    <x v="6"/>
    <x v="4"/>
    <x v="1"/>
    <x v="535"/>
    <x v="0"/>
    <x v="8"/>
    <x v="0"/>
    <n v="35430"/>
  </r>
  <r>
    <s v="CSKU03539_3EK"/>
    <x v="1"/>
    <x v="0"/>
    <x v="0"/>
    <x v="6"/>
    <x v="1"/>
    <x v="6"/>
    <x v="535"/>
    <x v="0"/>
    <x v="7"/>
    <x v="0"/>
    <n v="34740"/>
  </r>
  <r>
    <s v="CSKU03540_3EK"/>
    <x v="1"/>
    <x v="0"/>
    <x v="0"/>
    <x v="6"/>
    <x v="1"/>
    <x v="1"/>
    <x v="535"/>
    <x v="0"/>
    <x v="8"/>
    <x v="0"/>
    <n v="38730"/>
  </r>
  <r>
    <s v="CSKU03541_3EK"/>
    <x v="1"/>
    <x v="0"/>
    <x v="0"/>
    <x v="2"/>
    <x v="4"/>
    <x v="6"/>
    <x v="535"/>
    <x v="0"/>
    <x v="7"/>
    <x v="0"/>
    <n v="37390"/>
  </r>
  <r>
    <s v="CSKU03542_3EK"/>
    <x v="1"/>
    <x v="0"/>
    <x v="0"/>
    <x v="2"/>
    <x v="4"/>
    <x v="1"/>
    <x v="535"/>
    <x v="0"/>
    <x v="8"/>
    <x v="0"/>
    <n v="40400"/>
  </r>
  <r>
    <s v="CSKU03543_3EK"/>
    <x v="1"/>
    <x v="0"/>
    <x v="0"/>
    <x v="2"/>
    <x v="1"/>
    <x v="6"/>
    <x v="535"/>
    <x v="0"/>
    <x v="7"/>
    <x v="0"/>
    <n v="39890"/>
  </r>
  <r>
    <s v="CSKU03544_3EK"/>
    <x v="1"/>
    <x v="0"/>
    <x v="0"/>
    <x v="2"/>
    <x v="1"/>
    <x v="1"/>
    <x v="535"/>
    <x v="0"/>
    <x v="8"/>
    <x v="0"/>
    <n v="44020"/>
  </r>
  <r>
    <s v="CSKU03545_3EK"/>
    <x v="1"/>
    <x v="0"/>
    <x v="1"/>
    <x v="0"/>
    <x v="4"/>
    <x v="6"/>
    <x v="535"/>
    <x v="1"/>
    <x v="7"/>
    <x v="0"/>
    <n v="29050"/>
  </r>
  <r>
    <s v="CSKU03894_3EK"/>
    <x v="1"/>
    <x v="0"/>
    <x v="0"/>
    <x v="0"/>
    <x v="4"/>
    <x v="1"/>
    <x v="543"/>
    <x v="0"/>
    <x v="8"/>
    <x v="0"/>
    <n v="30600"/>
  </r>
  <r>
    <s v="CSKU03895_3EK"/>
    <x v="1"/>
    <x v="0"/>
    <x v="0"/>
    <x v="0"/>
    <x v="1"/>
    <x v="6"/>
    <x v="543"/>
    <x v="0"/>
    <x v="7"/>
    <x v="0"/>
    <n v="29550"/>
  </r>
  <r>
    <s v="CSKU03896_3EK"/>
    <x v="1"/>
    <x v="0"/>
    <x v="0"/>
    <x v="0"/>
    <x v="1"/>
    <x v="1"/>
    <x v="543"/>
    <x v="0"/>
    <x v="8"/>
    <x v="0"/>
    <n v="33320"/>
  </r>
  <r>
    <s v="CSKU03897_3EK"/>
    <x v="1"/>
    <x v="0"/>
    <x v="0"/>
    <x v="6"/>
    <x v="4"/>
    <x v="6"/>
    <x v="543"/>
    <x v="0"/>
    <x v="7"/>
    <x v="0"/>
    <n v="32560"/>
  </r>
  <r>
    <s v="CSKU03898_3EK"/>
    <x v="1"/>
    <x v="0"/>
    <x v="0"/>
    <x v="6"/>
    <x v="4"/>
    <x v="1"/>
    <x v="543"/>
    <x v="0"/>
    <x v="8"/>
    <x v="0"/>
    <n v="35430"/>
  </r>
  <r>
    <s v="CSKU03899_3EK"/>
    <x v="1"/>
    <x v="0"/>
    <x v="0"/>
    <x v="6"/>
    <x v="1"/>
    <x v="6"/>
    <x v="543"/>
    <x v="0"/>
    <x v="7"/>
    <x v="0"/>
    <n v="34740"/>
  </r>
  <r>
    <s v="CSKU03900_3EK"/>
    <x v="1"/>
    <x v="0"/>
    <x v="0"/>
    <x v="6"/>
    <x v="1"/>
    <x v="1"/>
    <x v="543"/>
    <x v="0"/>
    <x v="8"/>
    <x v="0"/>
    <n v="38730"/>
  </r>
  <r>
    <s v="CSKU03901_3EK"/>
    <x v="1"/>
    <x v="0"/>
    <x v="0"/>
    <x v="2"/>
    <x v="4"/>
    <x v="6"/>
    <x v="543"/>
    <x v="0"/>
    <x v="7"/>
    <x v="0"/>
    <n v="37390"/>
  </r>
  <r>
    <s v="CSKU03902_3EK"/>
    <x v="1"/>
    <x v="0"/>
    <x v="0"/>
    <x v="2"/>
    <x v="4"/>
    <x v="1"/>
    <x v="543"/>
    <x v="0"/>
    <x v="8"/>
    <x v="0"/>
    <n v="40400"/>
  </r>
  <r>
    <s v="CSKU01194_2EK"/>
    <x v="1"/>
    <x v="1"/>
    <x v="0"/>
    <x v="1"/>
    <x v="4"/>
    <x v="6"/>
    <x v="567"/>
    <x v="0"/>
    <x v="5"/>
    <x v="0"/>
    <n v="19840"/>
  </r>
  <r>
    <s v="CSKU01195_2EK"/>
    <x v="1"/>
    <x v="1"/>
    <x v="0"/>
    <x v="1"/>
    <x v="4"/>
    <x v="1"/>
    <x v="567"/>
    <x v="0"/>
    <x v="6"/>
    <x v="0"/>
    <n v="21880"/>
  </r>
  <r>
    <s v="CSKU01196_2EK"/>
    <x v="1"/>
    <x v="1"/>
    <x v="0"/>
    <x v="1"/>
    <x v="1"/>
    <x v="6"/>
    <x v="567"/>
    <x v="0"/>
    <x v="5"/>
    <x v="0"/>
    <n v="21470"/>
  </r>
  <r>
    <s v="CSKU01197_2EK"/>
    <x v="1"/>
    <x v="1"/>
    <x v="0"/>
    <x v="1"/>
    <x v="1"/>
    <x v="1"/>
    <x v="567"/>
    <x v="0"/>
    <x v="6"/>
    <x v="0"/>
    <n v="23830"/>
  </r>
  <r>
    <s v="CSKU01198_2EK"/>
    <x v="1"/>
    <x v="1"/>
    <x v="0"/>
    <x v="5"/>
    <x v="4"/>
    <x v="6"/>
    <x v="567"/>
    <x v="0"/>
    <x v="5"/>
    <x v="0"/>
    <n v="22780"/>
  </r>
  <r>
    <s v="CSKU01199_2EK"/>
    <x v="1"/>
    <x v="1"/>
    <x v="0"/>
    <x v="5"/>
    <x v="4"/>
    <x v="1"/>
    <x v="567"/>
    <x v="0"/>
    <x v="6"/>
    <x v="0"/>
    <n v="25030"/>
  </r>
  <r>
    <s v="CSKU01200_2EK"/>
    <x v="1"/>
    <x v="1"/>
    <x v="0"/>
    <x v="5"/>
    <x v="1"/>
    <x v="6"/>
    <x v="567"/>
    <x v="0"/>
    <x v="5"/>
    <x v="0"/>
    <n v="24190"/>
  </r>
  <r>
    <s v="CSKU01201_2EK"/>
    <x v="1"/>
    <x v="1"/>
    <x v="0"/>
    <x v="5"/>
    <x v="1"/>
    <x v="1"/>
    <x v="567"/>
    <x v="0"/>
    <x v="6"/>
    <x v="0"/>
    <n v="27270"/>
  </r>
  <r>
    <s v="CSKU01202_2EK"/>
    <x v="1"/>
    <x v="1"/>
    <x v="0"/>
    <x v="4"/>
    <x v="4"/>
    <x v="6"/>
    <x v="567"/>
    <x v="0"/>
    <x v="5"/>
    <x v="0"/>
    <n v="25020"/>
  </r>
  <r>
    <s v="CSKU01203_2EK"/>
    <x v="1"/>
    <x v="1"/>
    <x v="0"/>
    <x v="4"/>
    <x v="4"/>
    <x v="1"/>
    <x v="567"/>
    <x v="0"/>
    <x v="6"/>
    <x v="0"/>
    <n v="27450"/>
  </r>
  <r>
    <s v="CSKU01485_2EK"/>
    <x v="1"/>
    <x v="1"/>
    <x v="1"/>
    <x v="4"/>
    <x v="4"/>
    <x v="1"/>
    <x v="438"/>
    <x v="1"/>
    <x v="6"/>
    <x v="0"/>
    <n v="28890"/>
  </r>
  <r>
    <s v="CSKU01486_2EK"/>
    <x v="1"/>
    <x v="1"/>
    <x v="1"/>
    <x v="4"/>
    <x v="1"/>
    <x v="6"/>
    <x v="438"/>
    <x v="1"/>
    <x v="5"/>
    <x v="0"/>
    <n v="27800"/>
  </r>
  <r>
    <s v="CSKU01487_2EK"/>
    <x v="1"/>
    <x v="1"/>
    <x v="1"/>
    <x v="4"/>
    <x v="1"/>
    <x v="1"/>
    <x v="438"/>
    <x v="1"/>
    <x v="6"/>
    <x v="0"/>
    <n v="31430"/>
  </r>
  <r>
    <s v="CSKU02094_2EK"/>
    <x v="1"/>
    <x v="1"/>
    <x v="0"/>
    <x v="1"/>
    <x v="4"/>
    <x v="6"/>
    <x v="568"/>
    <x v="0"/>
    <x v="5"/>
    <x v="0"/>
    <n v="19840"/>
  </r>
  <r>
    <s v="CSKU02455_3EK"/>
    <x v="1"/>
    <x v="0"/>
    <x v="0"/>
    <x v="0"/>
    <x v="4"/>
    <x v="6"/>
    <x v="569"/>
    <x v="0"/>
    <x v="7"/>
    <x v="0"/>
    <n v="22180"/>
  </r>
  <r>
    <s v="CSKU02456_3EK"/>
    <x v="1"/>
    <x v="0"/>
    <x v="0"/>
    <x v="0"/>
    <x v="4"/>
    <x v="1"/>
    <x v="569"/>
    <x v="0"/>
    <x v="8"/>
    <x v="0"/>
    <n v="25050"/>
  </r>
  <r>
    <s v="CSKU02457_3EK"/>
    <x v="1"/>
    <x v="0"/>
    <x v="0"/>
    <x v="0"/>
    <x v="1"/>
    <x v="6"/>
    <x v="569"/>
    <x v="0"/>
    <x v="7"/>
    <x v="0"/>
    <n v="23690"/>
  </r>
  <r>
    <s v="CSKU02458_3EK"/>
    <x v="1"/>
    <x v="0"/>
    <x v="0"/>
    <x v="0"/>
    <x v="1"/>
    <x v="1"/>
    <x v="569"/>
    <x v="0"/>
    <x v="8"/>
    <x v="0"/>
    <n v="27460"/>
  </r>
  <r>
    <s v="CSKU02459_3EK"/>
    <x v="1"/>
    <x v="0"/>
    <x v="0"/>
    <x v="6"/>
    <x v="4"/>
    <x v="6"/>
    <x v="569"/>
    <x v="0"/>
    <x v="7"/>
    <x v="0"/>
    <n v="25330"/>
  </r>
  <r>
    <s v="CSKU04436_3EK"/>
    <x v="1"/>
    <x v="0"/>
    <x v="0"/>
    <x v="0"/>
    <x v="1"/>
    <x v="1"/>
    <x v="536"/>
    <x v="0"/>
    <x v="8"/>
    <x v="0"/>
    <n v="33320"/>
  </r>
  <r>
    <s v="CSKU04437_3EK"/>
    <x v="1"/>
    <x v="0"/>
    <x v="0"/>
    <x v="6"/>
    <x v="4"/>
    <x v="6"/>
    <x v="536"/>
    <x v="0"/>
    <x v="7"/>
    <x v="0"/>
    <n v="32560"/>
  </r>
  <r>
    <s v="CSKU04438_3EK"/>
    <x v="1"/>
    <x v="0"/>
    <x v="0"/>
    <x v="6"/>
    <x v="4"/>
    <x v="1"/>
    <x v="536"/>
    <x v="0"/>
    <x v="8"/>
    <x v="0"/>
    <n v="35430"/>
  </r>
  <r>
    <s v="CSKU04439_3EK"/>
    <x v="1"/>
    <x v="0"/>
    <x v="0"/>
    <x v="6"/>
    <x v="1"/>
    <x v="6"/>
    <x v="536"/>
    <x v="0"/>
    <x v="7"/>
    <x v="0"/>
    <n v="34740"/>
  </r>
  <r>
    <s v="CSKU04440_3EK"/>
    <x v="1"/>
    <x v="0"/>
    <x v="0"/>
    <x v="6"/>
    <x v="1"/>
    <x v="1"/>
    <x v="536"/>
    <x v="0"/>
    <x v="8"/>
    <x v="0"/>
    <n v="38730"/>
  </r>
  <r>
    <s v="CSKU04441_3EK"/>
    <x v="1"/>
    <x v="0"/>
    <x v="0"/>
    <x v="2"/>
    <x v="4"/>
    <x v="6"/>
    <x v="536"/>
    <x v="0"/>
    <x v="7"/>
    <x v="0"/>
    <n v="37390"/>
  </r>
  <r>
    <s v="CSKU04442_3EK"/>
    <x v="1"/>
    <x v="0"/>
    <x v="0"/>
    <x v="2"/>
    <x v="4"/>
    <x v="1"/>
    <x v="536"/>
    <x v="0"/>
    <x v="8"/>
    <x v="0"/>
    <n v="40400"/>
  </r>
  <r>
    <s v="CSKU04443_3EK"/>
    <x v="1"/>
    <x v="0"/>
    <x v="0"/>
    <x v="2"/>
    <x v="1"/>
    <x v="6"/>
    <x v="536"/>
    <x v="0"/>
    <x v="7"/>
    <x v="0"/>
    <n v="39890"/>
  </r>
  <r>
    <s v="CSKU04444_3EK"/>
    <x v="1"/>
    <x v="0"/>
    <x v="0"/>
    <x v="2"/>
    <x v="1"/>
    <x v="1"/>
    <x v="536"/>
    <x v="0"/>
    <x v="8"/>
    <x v="0"/>
    <n v="44020"/>
  </r>
  <r>
    <s v="CSKU04445_3EK"/>
    <x v="1"/>
    <x v="0"/>
    <x v="1"/>
    <x v="0"/>
    <x v="4"/>
    <x v="6"/>
    <x v="536"/>
    <x v="1"/>
    <x v="7"/>
    <x v="0"/>
    <n v="29050"/>
  </r>
  <r>
    <s v="CSKU04446_3EK"/>
    <x v="1"/>
    <x v="0"/>
    <x v="1"/>
    <x v="0"/>
    <x v="4"/>
    <x v="1"/>
    <x v="536"/>
    <x v="1"/>
    <x v="8"/>
    <x v="0"/>
    <n v="32250"/>
  </r>
  <r>
    <s v="CSKU00024_2EK"/>
    <x v="1"/>
    <x v="1"/>
    <x v="0"/>
    <x v="1"/>
    <x v="4"/>
    <x v="6"/>
    <x v="570"/>
    <x v="0"/>
    <x v="5"/>
    <x v="0"/>
    <n v="16680"/>
  </r>
  <r>
    <s v="CSKU00025_2EK"/>
    <x v="1"/>
    <x v="1"/>
    <x v="0"/>
    <x v="1"/>
    <x v="4"/>
    <x v="1"/>
    <x v="570"/>
    <x v="0"/>
    <x v="6"/>
    <x v="0"/>
    <n v="18720"/>
  </r>
  <r>
    <s v="CSKU00026_2EK"/>
    <x v="1"/>
    <x v="1"/>
    <x v="0"/>
    <x v="1"/>
    <x v="1"/>
    <x v="6"/>
    <x v="570"/>
    <x v="0"/>
    <x v="5"/>
    <x v="0"/>
    <n v="18160"/>
  </r>
  <r>
    <s v="CSKU00027_2EK"/>
    <x v="1"/>
    <x v="1"/>
    <x v="0"/>
    <x v="1"/>
    <x v="1"/>
    <x v="1"/>
    <x v="570"/>
    <x v="0"/>
    <x v="6"/>
    <x v="0"/>
    <n v="20520"/>
  </r>
  <r>
    <s v="CSKU00028_2EK"/>
    <x v="1"/>
    <x v="1"/>
    <x v="0"/>
    <x v="5"/>
    <x v="4"/>
    <x v="6"/>
    <x v="570"/>
    <x v="0"/>
    <x v="5"/>
    <x v="0"/>
    <n v="18710"/>
  </r>
  <r>
    <s v="CSKU00029_2EK"/>
    <x v="1"/>
    <x v="1"/>
    <x v="0"/>
    <x v="5"/>
    <x v="4"/>
    <x v="1"/>
    <x v="570"/>
    <x v="0"/>
    <x v="6"/>
    <x v="0"/>
    <n v="20960"/>
  </r>
  <r>
    <s v="CSKU00030_2EK"/>
    <x v="1"/>
    <x v="1"/>
    <x v="0"/>
    <x v="5"/>
    <x v="1"/>
    <x v="6"/>
    <x v="570"/>
    <x v="0"/>
    <x v="5"/>
    <x v="0"/>
    <n v="19850"/>
  </r>
  <r>
    <s v="CSKU00031_2EK"/>
    <x v="1"/>
    <x v="1"/>
    <x v="0"/>
    <x v="5"/>
    <x v="1"/>
    <x v="1"/>
    <x v="570"/>
    <x v="0"/>
    <x v="6"/>
    <x v="0"/>
    <n v="22930"/>
  </r>
  <r>
    <s v="CSKU00294_2EK"/>
    <x v="1"/>
    <x v="1"/>
    <x v="0"/>
    <x v="1"/>
    <x v="4"/>
    <x v="6"/>
    <x v="571"/>
    <x v="0"/>
    <x v="5"/>
    <x v="0"/>
    <n v="19840"/>
  </r>
  <r>
    <s v="CSKU00295_2EK"/>
    <x v="1"/>
    <x v="1"/>
    <x v="0"/>
    <x v="1"/>
    <x v="4"/>
    <x v="1"/>
    <x v="571"/>
    <x v="0"/>
    <x v="6"/>
    <x v="0"/>
    <n v="21880"/>
  </r>
  <r>
    <s v="CSKU00296_2EK"/>
    <x v="1"/>
    <x v="1"/>
    <x v="0"/>
    <x v="1"/>
    <x v="1"/>
    <x v="6"/>
    <x v="571"/>
    <x v="0"/>
    <x v="5"/>
    <x v="0"/>
    <n v="21470"/>
  </r>
  <r>
    <s v="CSKU00297_2EK"/>
    <x v="1"/>
    <x v="1"/>
    <x v="0"/>
    <x v="1"/>
    <x v="1"/>
    <x v="1"/>
    <x v="571"/>
    <x v="0"/>
    <x v="6"/>
    <x v="0"/>
    <n v="23830"/>
  </r>
  <r>
    <s v="CSKU00298_2EK"/>
    <x v="1"/>
    <x v="1"/>
    <x v="0"/>
    <x v="5"/>
    <x v="4"/>
    <x v="6"/>
    <x v="571"/>
    <x v="0"/>
    <x v="5"/>
    <x v="0"/>
    <n v="22780"/>
  </r>
  <r>
    <s v="CSKU00299_2EK"/>
    <x v="1"/>
    <x v="1"/>
    <x v="0"/>
    <x v="5"/>
    <x v="4"/>
    <x v="1"/>
    <x v="571"/>
    <x v="0"/>
    <x v="6"/>
    <x v="0"/>
    <n v="25030"/>
  </r>
  <r>
    <s v="CSKU00834_2EK"/>
    <x v="1"/>
    <x v="1"/>
    <x v="0"/>
    <x v="1"/>
    <x v="4"/>
    <x v="6"/>
    <x v="572"/>
    <x v="0"/>
    <x v="5"/>
    <x v="0"/>
    <n v="19840"/>
  </r>
  <r>
    <m/>
    <x v="1"/>
    <x v="0"/>
    <x v="0"/>
    <x v="6"/>
    <x v="4"/>
    <x v="1"/>
    <x v="5"/>
    <x v="0"/>
    <x v="4"/>
    <x v="0"/>
    <n v="27450"/>
  </r>
  <r>
    <m/>
    <x v="1"/>
    <x v="0"/>
    <x v="0"/>
    <x v="6"/>
    <x v="1"/>
    <x v="6"/>
    <x v="56"/>
    <x v="0"/>
    <x v="3"/>
    <x v="0"/>
    <n v="27700"/>
  </r>
  <r>
    <m/>
    <x v="1"/>
    <x v="0"/>
    <x v="0"/>
    <x v="6"/>
    <x v="1"/>
    <x v="6"/>
    <x v="57"/>
    <x v="0"/>
    <x v="3"/>
    <x v="0"/>
    <n v="26940"/>
  </r>
  <r>
    <m/>
    <x v="1"/>
    <x v="0"/>
    <x v="0"/>
    <x v="6"/>
    <x v="1"/>
    <x v="6"/>
    <x v="58"/>
    <x v="0"/>
    <x v="3"/>
    <x v="0"/>
    <n v="25420"/>
  </r>
  <r>
    <m/>
    <x v="1"/>
    <x v="0"/>
    <x v="0"/>
    <x v="6"/>
    <x v="1"/>
    <x v="6"/>
    <x v="5"/>
    <x v="0"/>
    <x v="3"/>
    <x v="0"/>
    <n v="26180"/>
  </r>
  <r>
    <m/>
    <x v="1"/>
    <x v="0"/>
    <x v="0"/>
    <x v="6"/>
    <x v="1"/>
    <x v="1"/>
    <x v="56"/>
    <x v="0"/>
    <x v="4"/>
    <x v="0"/>
    <n v="31690"/>
  </r>
  <r>
    <m/>
    <x v="1"/>
    <x v="0"/>
    <x v="0"/>
    <x v="6"/>
    <x v="1"/>
    <x v="1"/>
    <x v="57"/>
    <x v="0"/>
    <x v="4"/>
    <x v="0"/>
    <n v="30930"/>
  </r>
  <r>
    <m/>
    <x v="1"/>
    <x v="0"/>
    <x v="0"/>
    <x v="6"/>
    <x v="1"/>
    <x v="1"/>
    <x v="58"/>
    <x v="0"/>
    <x v="4"/>
    <x v="0"/>
    <n v="29410"/>
  </r>
  <r>
    <m/>
    <x v="1"/>
    <x v="0"/>
    <x v="0"/>
    <x v="6"/>
    <x v="1"/>
    <x v="1"/>
    <x v="5"/>
    <x v="0"/>
    <x v="4"/>
    <x v="0"/>
    <n v="30170"/>
  </r>
  <r>
    <m/>
    <x v="1"/>
    <x v="0"/>
    <x v="0"/>
    <x v="3"/>
    <x v="2"/>
    <x v="5"/>
    <x v="48"/>
    <x v="0"/>
    <x v="3"/>
    <x v="0"/>
    <n v="27730"/>
  </r>
  <r>
    <m/>
    <x v="1"/>
    <x v="0"/>
    <x v="0"/>
    <x v="3"/>
    <x v="2"/>
    <x v="5"/>
    <x v="49"/>
    <x v="0"/>
    <x v="3"/>
    <x v="0"/>
    <n v="27730"/>
  </r>
  <r>
    <m/>
    <x v="1"/>
    <x v="0"/>
    <x v="0"/>
    <x v="3"/>
    <x v="2"/>
    <x v="5"/>
    <x v="50"/>
    <x v="0"/>
    <x v="3"/>
    <x v="0"/>
    <n v="27730"/>
  </r>
  <r>
    <m/>
    <x v="1"/>
    <x v="0"/>
    <x v="0"/>
    <x v="2"/>
    <x v="2"/>
    <x v="5"/>
    <x v="47"/>
    <x v="0"/>
    <x v="3"/>
    <x v="0"/>
    <n v="29550"/>
  </r>
  <r>
    <m/>
    <x v="1"/>
    <x v="0"/>
    <x v="0"/>
    <x v="2"/>
    <x v="2"/>
    <x v="4"/>
    <x v="48"/>
    <x v="0"/>
    <x v="3"/>
    <x v="0"/>
    <n v="34740"/>
  </r>
  <r>
    <m/>
    <x v="1"/>
    <x v="0"/>
    <x v="0"/>
    <x v="2"/>
    <x v="2"/>
    <x v="4"/>
    <x v="49"/>
    <x v="0"/>
    <x v="3"/>
    <x v="0"/>
    <n v="34740"/>
  </r>
  <r>
    <m/>
    <x v="1"/>
    <x v="0"/>
    <x v="0"/>
    <x v="2"/>
    <x v="2"/>
    <x v="4"/>
    <x v="50"/>
    <x v="0"/>
    <x v="3"/>
    <x v="0"/>
    <n v="34740"/>
  </r>
  <r>
    <m/>
    <x v="1"/>
    <x v="0"/>
    <x v="0"/>
    <x v="2"/>
    <x v="2"/>
    <x v="4"/>
    <x v="51"/>
    <x v="0"/>
    <x v="3"/>
    <x v="0"/>
    <n v="34740"/>
  </r>
  <r>
    <m/>
    <x v="1"/>
    <x v="0"/>
    <x v="0"/>
    <x v="2"/>
    <x v="2"/>
    <x v="4"/>
    <x v="52"/>
    <x v="0"/>
    <x v="3"/>
    <x v="0"/>
    <n v="34740"/>
  </r>
  <r>
    <m/>
    <x v="1"/>
    <x v="0"/>
    <x v="0"/>
    <x v="2"/>
    <x v="2"/>
    <x v="4"/>
    <x v="53"/>
    <x v="0"/>
    <x v="3"/>
    <x v="0"/>
    <n v="34740"/>
  </r>
  <r>
    <m/>
    <x v="1"/>
    <x v="0"/>
    <x v="0"/>
    <x v="2"/>
    <x v="2"/>
    <x v="4"/>
    <x v="54"/>
    <x v="0"/>
    <x v="3"/>
    <x v="0"/>
    <n v="34740"/>
  </r>
  <r>
    <m/>
    <x v="1"/>
    <x v="0"/>
    <x v="0"/>
    <x v="2"/>
    <x v="2"/>
    <x v="4"/>
    <x v="55"/>
    <x v="0"/>
    <x v="3"/>
    <x v="0"/>
    <n v="34740"/>
  </r>
  <r>
    <m/>
    <x v="1"/>
    <x v="0"/>
    <x v="0"/>
    <x v="2"/>
    <x v="2"/>
    <x v="4"/>
    <x v="59"/>
    <x v="0"/>
    <x v="3"/>
    <x v="0"/>
    <n v="34740"/>
  </r>
  <r>
    <m/>
    <x v="1"/>
    <x v="0"/>
    <x v="0"/>
    <x v="2"/>
    <x v="2"/>
    <x v="4"/>
    <x v="60"/>
    <x v="0"/>
    <x v="3"/>
    <x v="0"/>
    <n v="34740"/>
  </r>
  <r>
    <m/>
    <x v="1"/>
    <x v="0"/>
    <x v="0"/>
    <x v="2"/>
    <x v="2"/>
    <x v="4"/>
    <x v="61"/>
    <x v="0"/>
    <x v="3"/>
    <x v="0"/>
    <n v="34740"/>
  </r>
  <r>
    <m/>
    <x v="1"/>
    <x v="0"/>
    <x v="0"/>
    <x v="2"/>
    <x v="2"/>
    <x v="4"/>
    <x v="62"/>
    <x v="0"/>
    <x v="3"/>
    <x v="0"/>
    <n v="34740"/>
  </r>
  <r>
    <m/>
    <x v="1"/>
    <x v="0"/>
    <x v="0"/>
    <x v="2"/>
    <x v="3"/>
    <x v="4"/>
    <x v="6"/>
    <x v="0"/>
    <x v="4"/>
    <x v="0"/>
    <n v="38730"/>
  </r>
  <r>
    <m/>
    <x v="1"/>
    <x v="0"/>
    <x v="0"/>
    <x v="2"/>
    <x v="3"/>
    <x v="4"/>
    <x v="46"/>
    <x v="0"/>
    <x v="4"/>
    <x v="0"/>
    <n v="38730"/>
  </r>
  <r>
    <m/>
    <x v="1"/>
    <x v="0"/>
    <x v="0"/>
    <x v="2"/>
    <x v="3"/>
    <x v="4"/>
    <x v="47"/>
    <x v="0"/>
    <x v="4"/>
    <x v="0"/>
    <n v="38730"/>
  </r>
  <r>
    <m/>
    <x v="1"/>
    <x v="0"/>
    <x v="0"/>
    <x v="2"/>
    <x v="3"/>
    <x v="8"/>
    <x v="48"/>
    <x v="0"/>
    <x v="4"/>
    <x v="0"/>
    <n v="44020"/>
  </r>
  <r>
    <m/>
    <x v="1"/>
    <x v="0"/>
    <x v="0"/>
    <x v="2"/>
    <x v="3"/>
    <x v="8"/>
    <x v="49"/>
    <x v="0"/>
    <x v="4"/>
    <x v="0"/>
    <n v="44020"/>
  </r>
  <r>
    <m/>
    <x v="1"/>
    <x v="0"/>
    <x v="0"/>
    <x v="2"/>
    <x v="3"/>
    <x v="8"/>
    <x v="50"/>
    <x v="0"/>
    <x v="4"/>
    <x v="0"/>
    <n v="44020"/>
  </r>
  <r>
    <m/>
    <x v="1"/>
    <x v="0"/>
    <x v="0"/>
    <x v="2"/>
    <x v="3"/>
    <x v="8"/>
    <x v="51"/>
    <x v="0"/>
    <x v="4"/>
    <x v="0"/>
    <n v="44020"/>
  </r>
  <r>
    <m/>
    <x v="1"/>
    <x v="0"/>
    <x v="0"/>
    <x v="2"/>
    <x v="3"/>
    <x v="8"/>
    <x v="52"/>
    <x v="0"/>
    <x v="4"/>
    <x v="0"/>
    <n v="44020"/>
  </r>
  <r>
    <m/>
    <x v="1"/>
    <x v="0"/>
    <x v="0"/>
    <x v="2"/>
    <x v="3"/>
    <x v="8"/>
    <x v="53"/>
    <x v="0"/>
    <x v="4"/>
    <x v="0"/>
    <n v="44020"/>
  </r>
  <r>
    <m/>
    <x v="1"/>
    <x v="0"/>
    <x v="0"/>
    <x v="2"/>
    <x v="3"/>
    <x v="8"/>
    <x v="54"/>
    <x v="0"/>
    <x v="4"/>
    <x v="0"/>
    <n v="44020"/>
  </r>
  <r>
    <m/>
    <x v="1"/>
    <x v="0"/>
    <x v="0"/>
    <x v="2"/>
    <x v="3"/>
    <x v="8"/>
    <x v="55"/>
    <x v="0"/>
    <x v="4"/>
    <x v="0"/>
    <n v="44020"/>
  </r>
  <r>
    <m/>
    <x v="1"/>
    <x v="0"/>
    <x v="0"/>
    <x v="2"/>
    <x v="3"/>
    <x v="8"/>
    <x v="59"/>
    <x v="0"/>
    <x v="4"/>
    <x v="0"/>
    <n v="44020"/>
  </r>
  <r>
    <m/>
    <x v="1"/>
    <x v="0"/>
    <x v="0"/>
    <x v="2"/>
    <x v="3"/>
    <x v="8"/>
    <x v="60"/>
    <x v="0"/>
    <x v="4"/>
    <x v="0"/>
    <n v="44020"/>
  </r>
  <r>
    <m/>
    <x v="1"/>
    <x v="0"/>
    <x v="1"/>
    <x v="3"/>
    <x v="3"/>
    <x v="5"/>
    <x v="4"/>
    <x v="1"/>
    <x v="4"/>
    <x v="0"/>
    <n v="32250"/>
  </r>
  <r>
    <m/>
    <x v="1"/>
    <x v="0"/>
    <x v="1"/>
    <x v="3"/>
    <x v="3"/>
    <x v="5"/>
    <x v="44"/>
    <x v="1"/>
    <x v="4"/>
    <x v="0"/>
    <n v="32250"/>
  </r>
  <r>
    <m/>
    <x v="1"/>
    <x v="0"/>
    <x v="1"/>
    <x v="3"/>
    <x v="3"/>
    <x v="5"/>
    <x v="45"/>
    <x v="1"/>
    <x v="4"/>
    <x v="0"/>
    <n v="32250"/>
  </r>
  <r>
    <m/>
    <x v="1"/>
    <x v="0"/>
    <x v="1"/>
    <x v="3"/>
    <x v="3"/>
    <x v="5"/>
    <x v="6"/>
    <x v="1"/>
    <x v="4"/>
    <x v="0"/>
    <n v="32250"/>
  </r>
  <r>
    <m/>
    <x v="1"/>
    <x v="0"/>
    <x v="1"/>
    <x v="3"/>
    <x v="3"/>
    <x v="5"/>
    <x v="46"/>
    <x v="1"/>
    <x v="4"/>
    <x v="0"/>
    <n v="32250"/>
  </r>
  <r>
    <m/>
    <x v="1"/>
    <x v="0"/>
    <x v="1"/>
    <x v="3"/>
    <x v="3"/>
    <x v="5"/>
    <x v="47"/>
    <x v="1"/>
    <x v="4"/>
    <x v="0"/>
    <n v="32250"/>
  </r>
  <r>
    <m/>
    <x v="1"/>
    <x v="0"/>
    <x v="1"/>
    <x v="3"/>
    <x v="3"/>
    <x v="4"/>
    <x v="48"/>
    <x v="1"/>
    <x v="4"/>
    <x v="0"/>
    <n v="37160"/>
  </r>
  <r>
    <m/>
    <x v="1"/>
    <x v="0"/>
    <x v="1"/>
    <x v="3"/>
    <x v="3"/>
    <x v="4"/>
    <x v="49"/>
    <x v="1"/>
    <x v="4"/>
    <x v="0"/>
    <n v="37160"/>
  </r>
  <r>
    <m/>
    <x v="1"/>
    <x v="0"/>
    <x v="1"/>
    <x v="3"/>
    <x v="3"/>
    <x v="4"/>
    <x v="50"/>
    <x v="1"/>
    <x v="4"/>
    <x v="0"/>
    <n v="37160"/>
  </r>
  <r>
    <m/>
    <x v="1"/>
    <x v="0"/>
    <x v="1"/>
    <x v="3"/>
    <x v="3"/>
    <x v="4"/>
    <x v="51"/>
    <x v="1"/>
    <x v="4"/>
    <x v="0"/>
    <n v="37160"/>
  </r>
  <r>
    <m/>
    <x v="1"/>
    <x v="0"/>
    <x v="1"/>
    <x v="3"/>
    <x v="3"/>
    <x v="4"/>
    <x v="52"/>
    <x v="1"/>
    <x v="4"/>
    <x v="0"/>
    <n v="37160"/>
  </r>
  <r>
    <m/>
    <x v="1"/>
    <x v="0"/>
    <x v="1"/>
    <x v="3"/>
    <x v="3"/>
    <x v="4"/>
    <x v="53"/>
    <x v="1"/>
    <x v="4"/>
    <x v="0"/>
    <n v="37160"/>
  </r>
  <r>
    <m/>
    <x v="1"/>
    <x v="0"/>
    <x v="1"/>
    <x v="3"/>
    <x v="3"/>
    <x v="4"/>
    <x v="54"/>
    <x v="1"/>
    <x v="4"/>
    <x v="0"/>
    <n v="37160"/>
  </r>
  <r>
    <m/>
    <x v="1"/>
    <x v="0"/>
    <x v="1"/>
    <x v="3"/>
    <x v="3"/>
    <x v="4"/>
    <x v="55"/>
    <x v="1"/>
    <x v="4"/>
    <x v="0"/>
    <n v="37160"/>
  </r>
  <r>
    <m/>
    <x v="1"/>
    <x v="0"/>
    <x v="1"/>
    <x v="2"/>
    <x v="3"/>
    <x v="8"/>
    <x v="55"/>
    <x v="1"/>
    <x v="4"/>
    <x v="0"/>
    <n v="46040"/>
  </r>
  <r>
    <m/>
    <x v="1"/>
    <x v="0"/>
    <x v="1"/>
    <x v="2"/>
    <x v="3"/>
    <x v="8"/>
    <x v="59"/>
    <x v="1"/>
    <x v="4"/>
    <x v="0"/>
    <n v="46040"/>
  </r>
  <r>
    <m/>
    <x v="1"/>
    <x v="0"/>
    <x v="1"/>
    <x v="2"/>
    <x v="3"/>
    <x v="8"/>
    <x v="60"/>
    <x v="1"/>
    <x v="4"/>
    <x v="0"/>
    <n v="46040"/>
  </r>
  <r>
    <m/>
    <x v="1"/>
    <x v="0"/>
    <x v="1"/>
    <x v="2"/>
    <x v="3"/>
    <x v="8"/>
    <x v="61"/>
    <x v="1"/>
    <x v="4"/>
    <x v="0"/>
    <n v="46040"/>
  </r>
  <r>
    <m/>
    <x v="1"/>
    <x v="0"/>
    <x v="1"/>
    <x v="2"/>
    <x v="3"/>
    <x v="8"/>
    <x v="62"/>
    <x v="1"/>
    <x v="4"/>
    <x v="0"/>
    <n v="46040"/>
  </r>
  <r>
    <m/>
    <x v="1"/>
    <x v="0"/>
    <x v="1"/>
    <x v="2"/>
    <x v="3"/>
    <x v="8"/>
    <x v="43"/>
    <x v="1"/>
    <x v="4"/>
    <x v="0"/>
    <n v="46040"/>
  </r>
  <r>
    <m/>
    <x v="1"/>
    <x v="0"/>
    <x v="1"/>
    <x v="2"/>
    <x v="3"/>
    <x v="8"/>
    <x v="4"/>
    <x v="1"/>
    <x v="4"/>
    <x v="0"/>
    <n v="46040"/>
  </r>
  <r>
    <m/>
    <x v="1"/>
    <x v="0"/>
    <x v="1"/>
    <x v="2"/>
    <x v="3"/>
    <x v="8"/>
    <x v="44"/>
    <x v="1"/>
    <x v="4"/>
    <x v="0"/>
    <n v="46040"/>
  </r>
  <r>
    <m/>
    <x v="1"/>
    <x v="0"/>
    <x v="1"/>
    <x v="2"/>
    <x v="3"/>
    <x v="8"/>
    <x v="45"/>
    <x v="1"/>
    <x v="4"/>
    <x v="0"/>
    <n v="46040"/>
  </r>
  <r>
    <m/>
    <x v="1"/>
    <x v="0"/>
    <x v="1"/>
    <x v="2"/>
    <x v="3"/>
    <x v="8"/>
    <x v="6"/>
    <x v="1"/>
    <x v="4"/>
    <x v="0"/>
    <n v="46040"/>
  </r>
  <r>
    <m/>
    <x v="1"/>
    <x v="0"/>
    <x v="1"/>
    <x v="2"/>
    <x v="3"/>
    <x v="8"/>
    <x v="46"/>
    <x v="1"/>
    <x v="4"/>
    <x v="0"/>
    <n v="46040"/>
  </r>
  <r>
    <m/>
    <x v="1"/>
    <x v="0"/>
    <x v="1"/>
    <x v="2"/>
    <x v="3"/>
    <x v="8"/>
    <x v="47"/>
    <x v="1"/>
    <x v="4"/>
    <x v="0"/>
    <n v="46040"/>
  </r>
  <r>
    <m/>
    <x v="1"/>
    <x v="0"/>
    <x v="1"/>
    <x v="2"/>
    <x v="4"/>
    <x v="6"/>
    <x v="56"/>
    <x v="1"/>
    <x v="3"/>
    <x v="0"/>
    <n v="31060"/>
  </r>
  <r>
    <m/>
    <x v="1"/>
    <x v="0"/>
    <x v="1"/>
    <x v="2"/>
    <x v="4"/>
    <x v="6"/>
    <x v="57"/>
    <x v="1"/>
    <x v="3"/>
    <x v="0"/>
    <n v="30740"/>
  </r>
  <r>
    <m/>
    <x v="1"/>
    <x v="1"/>
    <x v="0"/>
    <x v="3"/>
    <x v="3"/>
    <x v="2"/>
    <x v="71"/>
    <x v="0"/>
    <x v="1"/>
    <x v="0"/>
    <n v="21880"/>
  </r>
  <r>
    <m/>
    <x v="1"/>
    <x v="1"/>
    <x v="0"/>
    <x v="3"/>
    <x v="3"/>
    <x v="2"/>
    <x v="72"/>
    <x v="0"/>
    <x v="1"/>
    <x v="0"/>
    <n v="21880"/>
  </r>
  <r>
    <m/>
    <x v="1"/>
    <x v="1"/>
    <x v="0"/>
    <x v="3"/>
    <x v="3"/>
    <x v="2"/>
    <x v="73"/>
    <x v="0"/>
    <x v="1"/>
    <x v="0"/>
    <n v="21880"/>
  </r>
  <r>
    <m/>
    <x v="1"/>
    <x v="1"/>
    <x v="0"/>
    <x v="3"/>
    <x v="3"/>
    <x v="2"/>
    <x v="74"/>
    <x v="0"/>
    <x v="1"/>
    <x v="0"/>
    <n v="21880"/>
  </r>
  <r>
    <m/>
    <x v="1"/>
    <x v="1"/>
    <x v="0"/>
    <x v="3"/>
    <x v="3"/>
    <x v="2"/>
    <x v="75"/>
    <x v="0"/>
    <x v="1"/>
    <x v="0"/>
    <n v="21880"/>
  </r>
  <r>
    <m/>
    <x v="1"/>
    <x v="1"/>
    <x v="0"/>
    <x v="3"/>
    <x v="3"/>
    <x v="2"/>
    <x v="76"/>
    <x v="0"/>
    <x v="1"/>
    <x v="0"/>
    <n v="21880"/>
  </r>
  <r>
    <m/>
    <x v="1"/>
    <x v="1"/>
    <x v="0"/>
    <x v="3"/>
    <x v="3"/>
    <x v="2"/>
    <x v="77"/>
    <x v="0"/>
    <x v="1"/>
    <x v="0"/>
    <n v="21880"/>
  </r>
  <r>
    <m/>
    <x v="1"/>
    <x v="1"/>
    <x v="0"/>
    <x v="3"/>
    <x v="3"/>
    <x v="2"/>
    <x v="78"/>
    <x v="0"/>
    <x v="1"/>
    <x v="0"/>
    <n v="21880"/>
  </r>
  <r>
    <m/>
    <x v="1"/>
    <x v="1"/>
    <x v="0"/>
    <x v="3"/>
    <x v="3"/>
    <x v="2"/>
    <x v="79"/>
    <x v="0"/>
    <x v="1"/>
    <x v="0"/>
    <n v="21880"/>
  </r>
  <r>
    <m/>
    <x v="1"/>
    <x v="1"/>
    <x v="0"/>
    <x v="3"/>
    <x v="3"/>
    <x v="3"/>
    <x v="3"/>
    <x v="0"/>
    <x v="1"/>
    <x v="0"/>
    <n v="25030"/>
  </r>
  <r>
    <m/>
    <x v="1"/>
    <x v="1"/>
    <x v="0"/>
    <x v="3"/>
    <x v="3"/>
    <x v="3"/>
    <x v="2"/>
    <x v="0"/>
    <x v="1"/>
    <x v="0"/>
    <n v="25030"/>
  </r>
  <r>
    <m/>
    <x v="1"/>
    <x v="1"/>
    <x v="0"/>
    <x v="3"/>
    <x v="3"/>
    <x v="3"/>
    <x v="63"/>
    <x v="0"/>
    <x v="1"/>
    <x v="0"/>
    <n v="25030"/>
  </r>
  <r>
    <m/>
    <x v="1"/>
    <x v="1"/>
    <x v="0"/>
    <x v="3"/>
    <x v="3"/>
    <x v="3"/>
    <x v="64"/>
    <x v="0"/>
    <x v="1"/>
    <x v="0"/>
    <n v="25030"/>
  </r>
  <r>
    <m/>
    <x v="1"/>
    <x v="1"/>
    <x v="0"/>
    <x v="3"/>
    <x v="3"/>
    <x v="3"/>
    <x v="65"/>
    <x v="0"/>
    <x v="1"/>
    <x v="0"/>
    <n v="25030"/>
  </r>
  <r>
    <m/>
    <x v="1"/>
    <x v="1"/>
    <x v="0"/>
    <x v="3"/>
    <x v="3"/>
    <x v="3"/>
    <x v="66"/>
    <x v="0"/>
    <x v="1"/>
    <x v="0"/>
    <n v="25030"/>
  </r>
  <r>
    <m/>
    <x v="1"/>
    <x v="1"/>
    <x v="1"/>
    <x v="5"/>
    <x v="4"/>
    <x v="6"/>
    <x v="1"/>
    <x v="1"/>
    <x v="2"/>
    <x v="0"/>
    <n v="19260"/>
  </r>
  <r>
    <m/>
    <x v="1"/>
    <x v="1"/>
    <x v="1"/>
    <x v="5"/>
    <x v="4"/>
    <x v="6"/>
    <x v="93"/>
    <x v="1"/>
    <x v="2"/>
    <x v="0"/>
    <n v="19530"/>
  </r>
  <r>
    <m/>
    <x v="1"/>
    <x v="1"/>
    <x v="1"/>
    <x v="5"/>
    <x v="4"/>
    <x v="1"/>
    <x v="94"/>
    <x v="1"/>
    <x v="1"/>
    <x v="0"/>
    <n v="22320"/>
  </r>
  <r>
    <m/>
    <x v="1"/>
    <x v="1"/>
    <x v="1"/>
    <x v="5"/>
    <x v="4"/>
    <x v="1"/>
    <x v="1"/>
    <x v="1"/>
    <x v="1"/>
    <x v="0"/>
    <n v="21780"/>
  </r>
  <r>
    <m/>
    <x v="1"/>
    <x v="1"/>
    <x v="1"/>
    <x v="5"/>
    <x v="4"/>
    <x v="1"/>
    <x v="93"/>
    <x v="1"/>
    <x v="1"/>
    <x v="0"/>
    <n v="22050"/>
  </r>
  <r>
    <m/>
    <x v="1"/>
    <x v="1"/>
    <x v="1"/>
    <x v="5"/>
    <x v="1"/>
    <x v="6"/>
    <x v="94"/>
    <x v="1"/>
    <x v="2"/>
    <x v="0"/>
    <n v="20960"/>
  </r>
  <r>
    <m/>
    <x v="1"/>
    <x v="1"/>
    <x v="1"/>
    <x v="5"/>
    <x v="1"/>
    <x v="6"/>
    <x v="1"/>
    <x v="1"/>
    <x v="2"/>
    <x v="0"/>
    <n v="20540"/>
  </r>
  <r>
    <m/>
    <x v="1"/>
    <x v="1"/>
    <x v="1"/>
    <x v="5"/>
    <x v="1"/>
    <x v="6"/>
    <x v="93"/>
    <x v="1"/>
    <x v="2"/>
    <x v="0"/>
    <n v="20750"/>
  </r>
  <r>
    <m/>
    <x v="1"/>
    <x v="1"/>
    <x v="1"/>
    <x v="5"/>
    <x v="1"/>
    <x v="1"/>
    <x v="94"/>
    <x v="1"/>
    <x v="1"/>
    <x v="0"/>
    <n v="24420"/>
  </r>
  <r>
    <m/>
    <x v="1"/>
    <x v="1"/>
    <x v="1"/>
    <x v="5"/>
    <x v="1"/>
    <x v="1"/>
    <x v="1"/>
    <x v="1"/>
    <x v="1"/>
    <x v="0"/>
    <n v="24000"/>
  </r>
  <r>
    <m/>
    <x v="1"/>
    <x v="1"/>
    <x v="1"/>
    <x v="5"/>
    <x v="1"/>
    <x v="1"/>
    <x v="93"/>
    <x v="1"/>
    <x v="1"/>
    <x v="0"/>
    <n v="24210"/>
  </r>
  <r>
    <m/>
    <x v="1"/>
    <x v="1"/>
    <x v="1"/>
    <x v="4"/>
    <x v="4"/>
    <x v="6"/>
    <x v="94"/>
    <x v="1"/>
    <x v="2"/>
    <x v="0"/>
    <n v="22270"/>
  </r>
  <r>
    <m/>
    <x v="1"/>
    <x v="1"/>
    <x v="1"/>
    <x v="4"/>
    <x v="4"/>
    <x v="6"/>
    <x v="1"/>
    <x v="1"/>
    <x v="2"/>
    <x v="0"/>
    <n v="21630"/>
  </r>
  <r>
    <m/>
    <x v="1"/>
    <x v="1"/>
    <x v="1"/>
    <x v="4"/>
    <x v="4"/>
    <x v="6"/>
    <x v="93"/>
    <x v="1"/>
    <x v="2"/>
    <x v="0"/>
    <n v="21950"/>
  </r>
  <r>
    <m/>
    <x v="1"/>
    <x v="1"/>
    <x v="1"/>
    <x v="3"/>
    <x v="2"/>
    <x v="3"/>
    <x v="67"/>
    <x v="1"/>
    <x v="2"/>
    <x v="0"/>
    <n v="23870"/>
  </r>
  <r>
    <m/>
    <x v="1"/>
    <x v="1"/>
    <x v="1"/>
    <x v="3"/>
    <x v="2"/>
    <x v="3"/>
    <x v="68"/>
    <x v="1"/>
    <x v="2"/>
    <x v="0"/>
    <n v="23870"/>
  </r>
  <r>
    <m/>
    <x v="1"/>
    <x v="1"/>
    <x v="1"/>
    <x v="3"/>
    <x v="2"/>
    <x v="3"/>
    <x v="69"/>
    <x v="1"/>
    <x v="2"/>
    <x v="0"/>
    <n v="23870"/>
  </r>
  <r>
    <m/>
    <x v="1"/>
    <x v="1"/>
    <x v="1"/>
    <x v="3"/>
    <x v="2"/>
    <x v="3"/>
    <x v="70"/>
    <x v="1"/>
    <x v="2"/>
    <x v="0"/>
    <n v="23870"/>
  </r>
  <r>
    <m/>
    <x v="1"/>
    <x v="1"/>
    <x v="1"/>
    <x v="3"/>
    <x v="2"/>
    <x v="3"/>
    <x v="71"/>
    <x v="1"/>
    <x v="2"/>
    <x v="0"/>
    <n v="23870"/>
  </r>
  <r>
    <m/>
    <x v="1"/>
    <x v="1"/>
    <x v="1"/>
    <x v="3"/>
    <x v="2"/>
    <x v="3"/>
    <x v="72"/>
    <x v="1"/>
    <x v="2"/>
    <x v="0"/>
    <n v="23870"/>
  </r>
  <r>
    <m/>
    <x v="1"/>
    <x v="1"/>
    <x v="1"/>
    <x v="3"/>
    <x v="2"/>
    <x v="3"/>
    <x v="73"/>
    <x v="1"/>
    <x v="2"/>
    <x v="0"/>
    <n v="23870"/>
  </r>
  <r>
    <m/>
    <x v="1"/>
    <x v="1"/>
    <x v="1"/>
    <x v="3"/>
    <x v="2"/>
    <x v="3"/>
    <x v="74"/>
    <x v="1"/>
    <x v="2"/>
    <x v="0"/>
    <n v="23870"/>
  </r>
  <r>
    <m/>
    <x v="1"/>
    <x v="1"/>
    <x v="1"/>
    <x v="3"/>
    <x v="2"/>
    <x v="3"/>
    <x v="75"/>
    <x v="1"/>
    <x v="2"/>
    <x v="0"/>
    <n v="23870"/>
  </r>
  <r>
    <m/>
    <x v="1"/>
    <x v="1"/>
    <x v="1"/>
    <x v="3"/>
    <x v="2"/>
    <x v="3"/>
    <x v="76"/>
    <x v="1"/>
    <x v="2"/>
    <x v="0"/>
    <n v="23870"/>
  </r>
  <r>
    <m/>
    <x v="1"/>
    <x v="1"/>
    <x v="1"/>
    <x v="3"/>
    <x v="2"/>
    <x v="3"/>
    <x v="77"/>
    <x v="1"/>
    <x v="2"/>
    <x v="0"/>
    <n v="23870"/>
  </r>
  <r>
    <m/>
    <x v="1"/>
    <x v="1"/>
    <x v="1"/>
    <x v="3"/>
    <x v="2"/>
    <x v="3"/>
    <x v="78"/>
    <x v="1"/>
    <x v="2"/>
    <x v="0"/>
    <n v="23870"/>
  </r>
  <r>
    <m/>
    <x v="1"/>
    <x v="1"/>
    <x v="1"/>
    <x v="3"/>
    <x v="2"/>
    <x v="3"/>
    <x v="79"/>
    <x v="1"/>
    <x v="2"/>
    <x v="0"/>
    <n v="23870"/>
  </r>
  <r>
    <m/>
    <x v="1"/>
    <x v="1"/>
    <x v="1"/>
    <x v="3"/>
    <x v="2"/>
    <x v="9"/>
    <x v="3"/>
    <x v="1"/>
    <x v="2"/>
    <x v="0"/>
    <n v="26180"/>
  </r>
  <r>
    <m/>
    <x v="1"/>
    <x v="1"/>
    <x v="1"/>
    <x v="3"/>
    <x v="2"/>
    <x v="9"/>
    <x v="2"/>
    <x v="1"/>
    <x v="2"/>
    <x v="0"/>
    <n v="26180"/>
  </r>
  <r>
    <m/>
    <x v="1"/>
    <x v="1"/>
    <x v="1"/>
    <x v="3"/>
    <x v="2"/>
    <x v="9"/>
    <x v="63"/>
    <x v="1"/>
    <x v="2"/>
    <x v="0"/>
    <n v="26180"/>
  </r>
  <r>
    <m/>
    <x v="1"/>
    <x v="1"/>
    <x v="0"/>
    <x v="3"/>
    <x v="3"/>
    <x v="3"/>
    <x v="67"/>
    <x v="0"/>
    <x v="1"/>
    <x v="0"/>
    <n v="25030"/>
  </r>
  <r>
    <m/>
    <x v="1"/>
    <x v="1"/>
    <x v="1"/>
    <x v="4"/>
    <x v="4"/>
    <x v="1"/>
    <x v="94"/>
    <x v="1"/>
    <x v="1"/>
    <x v="0"/>
    <n v="24980"/>
  </r>
  <r>
    <m/>
    <x v="1"/>
    <x v="1"/>
    <x v="1"/>
    <x v="3"/>
    <x v="2"/>
    <x v="9"/>
    <x v="64"/>
    <x v="1"/>
    <x v="2"/>
    <x v="0"/>
    <n v="26180"/>
  </r>
  <r>
    <m/>
    <x v="1"/>
    <x v="0"/>
    <x v="0"/>
    <x v="3"/>
    <x v="2"/>
    <x v="5"/>
    <x v="51"/>
    <x v="0"/>
    <x v="3"/>
    <x v="0"/>
    <n v="27730"/>
  </r>
  <r>
    <m/>
    <x v="1"/>
    <x v="0"/>
    <x v="0"/>
    <x v="2"/>
    <x v="2"/>
    <x v="4"/>
    <x v="43"/>
    <x v="0"/>
    <x v="3"/>
    <x v="0"/>
    <n v="34740"/>
  </r>
  <r>
    <m/>
    <x v="1"/>
    <x v="0"/>
    <x v="0"/>
    <x v="2"/>
    <x v="3"/>
    <x v="8"/>
    <x v="61"/>
    <x v="0"/>
    <x v="4"/>
    <x v="0"/>
    <n v="44020"/>
  </r>
  <r>
    <m/>
    <x v="1"/>
    <x v="0"/>
    <x v="1"/>
    <x v="3"/>
    <x v="3"/>
    <x v="4"/>
    <x v="59"/>
    <x v="1"/>
    <x v="4"/>
    <x v="0"/>
    <n v="37160"/>
  </r>
  <r>
    <m/>
    <x v="1"/>
    <x v="0"/>
    <x v="1"/>
    <x v="2"/>
    <x v="4"/>
    <x v="6"/>
    <x v="58"/>
    <x v="1"/>
    <x v="3"/>
    <x v="0"/>
    <n v="30100"/>
  </r>
  <r>
    <s v="CSKU00032_2EK"/>
    <x v="1"/>
    <x v="1"/>
    <x v="0"/>
    <x v="4"/>
    <x v="4"/>
    <x v="6"/>
    <x v="570"/>
    <x v="0"/>
    <x v="5"/>
    <x v="0"/>
    <n v="21110"/>
  </r>
  <r>
    <s v="CSKU00300_2EK"/>
    <x v="1"/>
    <x v="1"/>
    <x v="0"/>
    <x v="5"/>
    <x v="1"/>
    <x v="6"/>
    <x v="571"/>
    <x v="0"/>
    <x v="5"/>
    <x v="0"/>
    <n v="24190"/>
  </r>
  <r>
    <s v="CSKU00835_2EK"/>
    <x v="1"/>
    <x v="1"/>
    <x v="0"/>
    <x v="1"/>
    <x v="4"/>
    <x v="1"/>
    <x v="572"/>
    <x v="0"/>
    <x v="6"/>
    <x v="0"/>
    <n v="21880"/>
  </r>
  <r>
    <s v="CSKU01204_2EK"/>
    <x v="1"/>
    <x v="1"/>
    <x v="0"/>
    <x v="4"/>
    <x v="1"/>
    <x v="6"/>
    <x v="567"/>
    <x v="0"/>
    <x v="5"/>
    <x v="0"/>
    <n v="26610"/>
  </r>
  <r>
    <s v="CSKU02095_2EK"/>
    <x v="1"/>
    <x v="1"/>
    <x v="0"/>
    <x v="1"/>
    <x v="4"/>
    <x v="1"/>
    <x v="568"/>
    <x v="0"/>
    <x v="6"/>
    <x v="0"/>
    <n v="21880"/>
  </r>
  <r>
    <s v="CSKU02460_3EK"/>
    <x v="1"/>
    <x v="0"/>
    <x v="0"/>
    <x v="6"/>
    <x v="4"/>
    <x v="1"/>
    <x v="569"/>
    <x v="0"/>
    <x v="8"/>
    <x v="0"/>
    <n v="28200"/>
  </r>
  <r>
    <s v="CSKU02648_3EK"/>
    <x v="1"/>
    <x v="0"/>
    <x v="1"/>
    <x v="0"/>
    <x v="1"/>
    <x v="1"/>
    <x v="537"/>
    <x v="1"/>
    <x v="8"/>
    <x v="0"/>
    <n v="29040"/>
  </r>
  <r>
    <s v="CSKU02912_3EK"/>
    <x v="1"/>
    <x v="0"/>
    <x v="0"/>
    <x v="2"/>
    <x v="4"/>
    <x v="1"/>
    <x v="566"/>
    <x v="0"/>
    <x v="8"/>
    <x v="0"/>
    <n v="40400"/>
  </r>
  <r>
    <s v="CSKU03546_3EK"/>
    <x v="1"/>
    <x v="0"/>
    <x v="1"/>
    <x v="0"/>
    <x v="4"/>
    <x v="1"/>
    <x v="535"/>
    <x v="1"/>
    <x v="8"/>
    <x v="0"/>
    <n v="32250"/>
  </r>
  <r>
    <s v="CSKU03903_3EK"/>
    <x v="1"/>
    <x v="0"/>
    <x v="0"/>
    <x v="2"/>
    <x v="1"/>
    <x v="6"/>
    <x v="543"/>
    <x v="0"/>
    <x v="7"/>
    <x v="0"/>
    <n v="39890"/>
  </r>
  <r>
    <s v="CSKU04447_3EK"/>
    <x v="1"/>
    <x v="0"/>
    <x v="1"/>
    <x v="0"/>
    <x v="1"/>
    <x v="6"/>
    <x v="536"/>
    <x v="1"/>
    <x v="7"/>
    <x v="0"/>
    <n v="30900"/>
  </r>
  <r>
    <s v="CSKU05445_2ES"/>
    <x v="2"/>
    <x v="1"/>
    <x v="0"/>
    <x v="0"/>
    <x v="1"/>
    <x v="7"/>
    <x v="565"/>
    <x v="0"/>
    <x v="9"/>
    <x v="0"/>
    <n v="68590"/>
  </r>
  <r>
    <s v="CSKU06388_2ES"/>
    <x v="2"/>
    <x v="1"/>
    <x v="1"/>
    <x v="7"/>
    <x v="1"/>
    <x v="7"/>
    <x v="530"/>
    <x v="1"/>
    <x v="9"/>
    <x v="0"/>
    <n v="80540"/>
  </r>
  <r>
    <s v="CSKU06459_2ES"/>
    <x v="2"/>
    <x v="1"/>
    <x v="1"/>
    <x v="0"/>
    <x v="1"/>
    <x v="7"/>
    <x v="544"/>
    <x v="1"/>
    <x v="9"/>
    <x v="0"/>
    <n v="65580"/>
  </r>
  <r>
    <s v="CSKU06526_2ES"/>
    <x v="2"/>
    <x v="1"/>
    <x v="0"/>
    <x v="7"/>
    <x v="1"/>
    <x v="7"/>
    <x v="562"/>
    <x v="0"/>
    <x v="9"/>
    <x v="0"/>
    <n v="80500"/>
  </r>
  <r>
    <s v="CSKU06595_2ES"/>
    <x v="2"/>
    <x v="1"/>
    <x v="0"/>
    <x v="7"/>
    <x v="4"/>
    <x v="7"/>
    <x v="563"/>
    <x v="0"/>
    <x v="9"/>
    <x v="0"/>
    <n v="80500"/>
  </r>
  <r>
    <s v="CSKU06924_2ES"/>
    <x v="2"/>
    <x v="1"/>
    <x v="1"/>
    <x v="4"/>
    <x v="1"/>
    <x v="7"/>
    <x v="557"/>
    <x v="1"/>
    <x v="9"/>
    <x v="0"/>
    <n v="80500"/>
  </r>
  <r>
    <s v="CSKU06993_2ES"/>
    <x v="2"/>
    <x v="1"/>
    <x v="0"/>
    <x v="0"/>
    <x v="1"/>
    <x v="7"/>
    <x v="558"/>
    <x v="0"/>
    <x v="9"/>
    <x v="0"/>
    <n v="79570"/>
  </r>
  <r>
    <s v="CSKU07607_2ES"/>
    <x v="2"/>
    <x v="1"/>
    <x v="1"/>
    <x v="4"/>
    <x v="4"/>
    <x v="7"/>
    <x v="559"/>
    <x v="1"/>
    <x v="9"/>
    <x v="0"/>
    <n v="66080"/>
  </r>
  <r>
    <s v="CSKU07710_2ES"/>
    <x v="2"/>
    <x v="1"/>
    <x v="0"/>
    <x v="0"/>
    <x v="4"/>
    <x v="7"/>
    <x v="560"/>
    <x v="0"/>
    <x v="9"/>
    <x v="0"/>
    <n v="57390"/>
  </r>
  <r>
    <s v="CSKU07893_2ES"/>
    <x v="2"/>
    <x v="1"/>
    <x v="0"/>
    <x v="0"/>
    <x v="1"/>
    <x v="7"/>
    <x v="561"/>
    <x v="0"/>
    <x v="9"/>
    <x v="0"/>
    <n v="71030"/>
  </r>
  <r>
    <s v="CSKU08398_2ES"/>
    <x v="2"/>
    <x v="1"/>
    <x v="0"/>
    <x v="7"/>
    <x v="1"/>
    <x v="7"/>
    <x v="553"/>
    <x v="0"/>
    <x v="9"/>
    <x v="0"/>
    <n v="94100"/>
  </r>
  <r>
    <s v="CSKU08399_2ES"/>
    <x v="2"/>
    <x v="1"/>
    <x v="1"/>
    <x v="4"/>
    <x v="4"/>
    <x v="7"/>
    <x v="553"/>
    <x v="1"/>
    <x v="9"/>
    <x v="0"/>
    <n v="77020"/>
  </r>
  <r>
    <s v="CSKU08400_2ES"/>
    <x v="2"/>
    <x v="1"/>
    <x v="1"/>
    <x v="4"/>
    <x v="1"/>
    <x v="7"/>
    <x v="553"/>
    <x v="1"/>
    <x v="9"/>
    <x v="0"/>
    <n v="91480"/>
  </r>
  <r>
    <s v="CSKU08401_2ES"/>
    <x v="2"/>
    <x v="1"/>
    <x v="1"/>
    <x v="0"/>
    <x v="4"/>
    <x v="7"/>
    <x v="553"/>
    <x v="1"/>
    <x v="9"/>
    <x v="0"/>
    <n v="80980"/>
  </r>
  <r>
    <s v="CSKU08402_2ES"/>
    <x v="2"/>
    <x v="1"/>
    <x v="1"/>
    <x v="0"/>
    <x v="1"/>
    <x v="7"/>
    <x v="553"/>
    <x v="1"/>
    <x v="9"/>
    <x v="0"/>
    <n v="95440"/>
  </r>
  <r>
    <s v="CSKU08403_2ES"/>
    <x v="2"/>
    <x v="1"/>
    <x v="1"/>
    <x v="7"/>
    <x v="4"/>
    <x v="7"/>
    <x v="553"/>
    <x v="1"/>
    <x v="9"/>
    <x v="0"/>
    <n v="84960"/>
  </r>
  <r>
    <s v="CSKU08404_2ES"/>
    <x v="2"/>
    <x v="1"/>
    <x v="1"/>
    <x v="7"/>
    <x v="1"/>
    <x v="7"/>
    <x v="553"/>
    <x v="1"/>
    <x v="9"/>
    <x v="0"/>
    <n v="99420"/>
  </r>
  <r>
    <s v="CSKU08501_2ES"/>
    <x v="2"/>
    <x v="1"/>
    <x v="0"/>
    <x v="4"/>
    <x v="4"/>
    <x v="7"/>
    <x v="573"/>
    <x v="0"/>
    <x v="9"/>
    <x v="0"/>
    <n v="60500"/>
  </r>
  <r>
    <s v="CSKU08573_2ES"/>
    <x v="2"/>
    <x v="1"/>
    <x v="0"/>
    <x v="4"/>
    <x v="4"/>
    <x v="7"/>
    <x v="574"/>
    <x v="0"/>
    <x v="9"/>
    <x v="0"/>
    <n v="52370"/>
  </r>
  <r>
    <s v="CSKU08574_2ES"/>
    <x v="2"/>
    <x v="1"/>
    <x v="0"/>
    <x v="0"/>
    <x v="4"/>
    <x v="7"/>
    <x v="574"/>
    <x v="0"/>
    <x v="9"/>
    <x v="0"/>
    <n v="55900"/>
  </r>
  <r>
    <s v="CSKU08321_2ES"/>
    <x v="2"/>
    <x v="1"/>
    <x v="0"/>
    <x v="4"/>
    <x v="4"/>
    <x v="7"/>
    <x v="575"/>
    <x v="0"/>
    <x v="9"/>
    <x v="0"/>
    <n v="64800"/>
  </r>
  <r>
    <s v="CSKU08502_2ES"/>
    <x v="2"/>
    <x v="1"/>
    <x v="0"/>
    <x v="0"/>
    <x v="4"/>
    <x v="7"/>
    <x v="573"/>
    <x v="0"/>
    <x v="9"/>
    <x v="0"/>
    <n v="64030"/>
  </r>
  <r>
    <s v="CSKU08575_2ES"/>
    <x v="2"/>
    <x v="1"/>
    <x v="0"/>
    <x v="7"/>
    <x v="4"/>
    <x v="7"/>
    <x v="574"/>
    <x v="0"/>
    <x v="9"/>
    <x v="0"/>
    <n v="59470"/>
  </r>
  <r>
    <s v="CSKU08322_2ES"/>
    <x v="2"/>
    <x v="1"/>
    <x v="0"/>
    <x v="0"/>
    <x v="4"/>
    <x v="7"/>
    <x v="575"/>
    <x v="0"/>
    <x v="9"/>
    <x v="0"/>
    <n v="68330"/>
  </r>
  <r>
    <s v="CSKU08323_2ES"/>
    <x v="2"/>
    <x v="1"/>
    <x v="0"/>
    <x v="7"/>
    <x v="4"/>
    <x v="7"/>
    <x v="575"/>
    <x v="0"/>
    <x v="9"/>
    <x v="0"/>
    <n v="71900"/>
  </r>
  <r>
    <s v="CSKU08324_2ES"/>
    <x v="2"/>
    <x v="1"/>
    <x v="0"/>
    <x v="4"/>
    <x v="1"/>
    <x v="7"/>
    <x v="575"/>
    <x v="0"/>
    <x v="9"/>
    <x v="0"/>
    <n v="76040"/>
  </r>
  <r>
    <s v="CSKU08325_2ES"/>
    <x v="2"/>
    <x v="1"/>
    <x v="0"/>
    <x v="0"/>
    <x v="1"/>
    <x v="7"/>
    <x v="575"/>
    <x v="0"/>
    <x v="9"/>
    <x v="0"/>
    <n v="79570"/>
  </r>
  <r>
    <s v="CSKU08326_2ES"/>
    <x v="2"/>
    <x v="1"/>
    <x v="0"/>
    <x v="7"/>
    <x v="1"/>
    <x v="7"/>
    <x v="575"/>
    <x v="0"/>
    <x v="9"/>
    <x v="0"/>
    <n v="83120"/>
  </r>
  <r>
    <s v="CSKU08327_2ES"/>
    <x v="2"/>
    <x v="1"/>
    <x v="1"/>
    <x v="4"/>
    <x v="4"/>
    <x v="7"/>
    <x v="575"/>
    <x v="1"/>
    <x v="9"/>
    <x v="0"/>
    <n v="68420"/>
  </r>
  <r>
    <s v="CSKU08328_2ES"/>
    <x v="2"/>
    <x v="1"/>
    <x v="1"/>
    <x v="4"/>
    <x v="1"/>
    <x v="7"/>
    <x v="575"/>
    <x v="1"/>
    <x v="9"/>
    <x v="0"/>
    <n v="80500"/>
  </r>
  <r>
    <s v="CSKU08329_2ES"/>
    <x v="2"/>
    <x v="1"/>
    <x v="1"/>
    <x v="0"/>
    <x v="4"/>
    <x v="7"/>
    <x v="575"/>
    <x v="1"/>
    <x v="9"/>
    <x v="0"/>
    <n v="72380"/>
  </r>
  <r>
    <s v="CSKU08330_2ES"/>
    <x v="2"/>
    <x v="1"/>
    <x v="1"/>
    <x v="0"/>
    <x v="1"/>
    <x v="7"/>
    <x v="575"/>
    <x v="1"/>
    <x v="9"/>
    <x v="0"/>
    <n v="84460"/>
  </r>
  <r>
    <s v="CSKU08331_2ES"/>
    <x v="2"/>
    <x v="1"/>
    <x v="1"/>
    <x v="7"/>
    <x v="4"/>
    <x v="7"/>
    <x v="575"/>
    <x v="1"/>
    <x v="9"/>
    <x v="0"/>
    <n v="76360"/>
  </r>
  <r>
    <s v="CSKU08332_2ES"/>
    <x v="2"/>
    <x v="1"/>
    <x v="1"/>
    <x v="7"/>
    <x v="1"/>
    <x v="7"/>
    <x v="575"/>
    <x v="1"/>
    <x v="9"/>
    <x v="0"/>
    <n v="88440"/>
  </r>
  <r>
    <s v="CSKU08503_2ES"/>
    <x v="2"/>
    <x v="1"/>
    <x v="0"/>
    <x v="7"/>
    <x v="4"/>
    <x v="7"/>
    <x v="573"/>
    <x v="0"/>
    <x v="9"/>
    <x v="0"/>
    <n v="67600"/>
  </r>
  <r>
    <s v="CSKU08504_2ES"/>
    <x v="2"/>
    <x v="1"/>
    <x v="0"/>
    <x v="4"/>
    <x v="1"/>
    <x v="7"/>
    <x v="573"/>
    <x v="0"/>
    <x v="9"/>
    <x v="0"/>
    <n v="70550"/>
  </r>
  <r>
    <s v="CSKU08505_2ES"/>
    <x v="2"/>
    <x v="1"/>
    <x v="0"/>
    <x v="0"/>
    <x v="1"/>
    <x v="7"/>
    <x v="573"/>
    <x v="0"/>
    <x v="9"/>
    <x v="0"/>
    <n v="74080"/>
  </r>
  <r>
    <s v="CSKU08506_2ES"/>
    <x v="2"/>
    <x v="1"/>
    <x v="0"/>
    <x v="7"/>
    <x v="1"/>
    <x v="7"/>
    <x v="573"/>
    <x v="0"/>
    <x v="9"/>
    <x v="0"/>
    <n v="77630"/>
  </r>
  <r>
    <s v="CSKU08507_2ES"/>
    <x v="2"/>
    <x v="1"/>
    <x v="1"/>
    <x v="4"/>
    <x v="4"/>
    <x v="7"/>
    <x v="573"/>
    <x v="1"/>
    <x v="9"/>
    <x v="0"/>
    <n v="64120"/>
  </r>
  <r>
    <s v="CSKU08508_2ES"/>
    <x v="2"/>
    <x v="1"/>
    <x v="1"/>
    <x v="4"/>
    <x v="1"/>
    <x v="7"/>
    <x v="573"/>
    <x v="1"/>
    <x v="9"/>
    <x v="0"/>
    <n v="75010"/>
  </r>
  <r>
    <s v="CSKU08509_2ES"/>
    <x v="2"/>
    <x v="1"/>
    <x v="1"/>
    <x v="0"/>
    <x v="4"/>
    <x v="7"/>
    <x v="573"/>
    <x v="1"/>
    <x v="9"/>
    <x v="0"/>
    <n v="68080"/>
  </r>
  <r>
    <s v="CSKU08510_2ES"/>
    <x v="2"/>
    <x v="1"/>
    <x v="1"/>
    <x v="0"/>
    <x v="1"/>
    <x v="7"/>
    <x v="573"/>
    <x v="1"/>
    <x v="9"/>
    <x v="0"/>
    <n v="78970"/>
  </r>
  <r>
    <s v="CSKU08360_2ES"/>
    <x v="2"/>
    <x v="1"/>
    <x v="0"/>
    <x v="4"/>
    <x v="1"/>
    <x v="7"/>
    <x v="123"/>
    <x v="0"/>
    <x v="9"/>
    <x v="0"/>
    <n v="76040"/>
  </r>
  <r>
    <s v="CSKU08361_2ES"/>
    <x v="2"/>
    <x v="1"/>
    <x v="0"/>
    <x v="0"/>
    <x v="1"/>
    <x v="7"/>
    <x v="123"/>
    <x v="0"/>
    <x v="9"/>
    <x v="0"/>
    <n v="79570"/>
  </r>
  <r>
    <s v="CSKU08362_2ES"/>
    <x v="2"/>
    <x v="1"/>
    <x v="0"/>
    <x v="7"/>
    <x v="1"/>
    <x v="7"/>
    <x v="123"/>
    <x v="0"/>
    <x v="9"/>
    <x v="0"/>
    <n v="83120"/>
  </r>
  <r>
    <s v="CSKU08363_2ES"/>
    <x v="2"/>
    <x v="1"/>
    <x v="1"/>
    <x v="4"/>
    <x v="4"/>
    <x v="7"/>
    <x v="123"/>
    <x v="1"/>
    <x v="9"/>
    <x v="0"/>
    <n v="68420"/>
  </r>
  <r>
    <s v="CSKU08511_2ES"/>
    <x v="2"/>
    <x v="1"/>
    <x v="1"/>
    <x v="7"/>
    <x v="4"/>
    <x v="7"/>
    <x v="573"/>
    <x v="1"/>
    <x v="9"/>
    <x v="0"/>
    <n v="72060"/>
  </r>
  <r>
    <s v="CSKU08645_2ES"/>
    <x v="2"/>
    <x v="1"/>
    <x v="0"/>
    <x v="4"/>
    <x v="4"/>
    <x v="7"/>
    <x v="124"/>
    <x v="0"/>
    <x v="9"/>
    <x v="0"/>
    <n v="60500"/>
  </r>
  <r>
    <s v="CSKU08646_2ES"/>
    <x v="2"/>
    <x v="1"/>
    <x v="0"/>
    <x v="0"/>
    <x v="4"/>
    <x v="7"/>
    <x v="124"/>
    <x v="0"/>
    <x v="9"/>
    <x v="0"/>
    <n v="64030"/>
  </r>
  <r>
    <s v="CSKU08647_2ES"/>
    <x v="2"/>
    <x v="1"/>
    <x v="0"/>
    <x v="7"/>
    <x v="4"/>
    <x v="7"/>
    <x v="124"/>
    <x v="0"/>
    <x v="9"/>
    <x v="0"/>
    <n v="67600"/>
  </r>
  <r>
    <s v="CSKU07894_2ES"/>
    <x v="2"/>
    <x v="1"/>
    <x v="0"/>
    <x v="7"/>
    <x v="1"/>
    <x v="7"/>
    <x v="561"/>
    <x v="0"/>
    <x v="9"/>
    <x v="0"/>
    <n v="74580"/>
  </r>
  <r>
    <s v="CSKU07895_2ES"/>
    <x v="2"/>
    <x v="1"/>
    <x v="1"/>
    <x v="4"/>
    <x v="4"/>
    <x v="7"/>
    <x v="561"/>
    <x v="1"/>
    <x v="9"/>
    <x v="0"/>
    <n v="61400"/>
  </r>
  <r>
    <s v="CSKU07896_2ES"/>
    <x v="2"/>
    <x v="1"/>
    <x v="1"/>
    <x v="0"/>
    <x v="4"/>
    <x v="7"/>
    <x v="561"/>
    <x v="1"/>
    <x v="9"/>
    <x v="0"/>
    <n v="65360"/>
  </r>
  <r>
    <s v="CSKU07897_2ES"/>
    <x v="2"/>
    <x v="1"/>
    <x v="1"/>
    <x v="7"/>
    <x v="4"/>
    <x v="7"/>
    <x v="561"/>
    <x v="1"/>
    <x v="9"/>
    <x v="0"/>
    <n v="69340"/>
  </r>
  <r>
    <s v="CSKU07898_2ES"/>
    <x v="2"/>
    <x v="1"/>
    <x v="1"/>
    <x v="4"/>
    <x v="1"/>
    <x v="7"/>
    <x v="561"/>
    <x v="1"/>
    <x v="9"/>
    <x v="0"/>
    <n v="72600"/>
  </r>
  <r>
    <s v="CSKU07899_2ES"/>
    <x v="2"/>
    <x v="1"/>
    <x v="1"/>
    <x v="0"/>
    <x v="1"/>
    <x v="7"/>
    <x v="561"/>
    <x v="1"/>
    <x v="9"/>
    <x v="0"/>
    <n v="76560"/>
  </r>
  <r>
    <s v="CSKU07900_2ES"/>
    <x v="2"/>
    <x v="1"/>
    <x v="1"/>
    <x v="7"/>
    <x v="1"/>
    <x v="7"/>
    <x v="561"/>
    <x v="1"/>
    <x v="9"/>
    <x v="0"/>
    <n v="80540"/>
  </r>
  <r>
    <s v="CSKU07997_2ES"/>
    <x v="2"/>
    <x v="1"/>
    <x v="0"/>
    <x v="4"/>
    <x v="4"/>
    <x v="7"/>
    <x v="576"/>
    <x v="0"/>
    <x v="9"/>
    <x v="0"/>
    <n v="57140"/>
  </r>
  <r>
    <s v="CSKU07998_2ES"/>
    <x v="2"/>
    <x v="1"/>
    <x v="0"/>
    <x v="0"/>
    <x v="4"/>
    <x v="7"/>
    <x v="576"/>
    <x v="0"/>
    <x v="9"/>
    <x v="0"/>
    <n v="60670"/>
  </r>
  <r>
    <s v="CSKU07999_2ES"/>
    <x v="2"/>
    <x v="1"/>
    <x v="0"/>
    <x v="7"/>
    <x v="4"/>
    <x v="7"/>
    <x v="576"/>
    <x v="0"/>
    <x v="9"/>
    <x v="0"/>
    <n v="64240"/>
  </r>
  <r>
    <s v="CSKU08000_2ES"/>
    <x v="2"/>
    <x v="1"/>
    <x v="0"/>
    <x v="4"/>
    <x v="1"/>
    <x v="7"/>
    <x v="576"/>
    <x v="0"/>
    <x v="9"/>
    <x v="0"/>
    <n v="67500"/>
  </r>
  <r>
    <s v="CSKU08001_2ES"/>
    <x v="2"/>
    <x v="1"/>
    <x v="0"/>
    <x v="0"/>
    <x v="1"/>
    <x v="7"/>
    <x v="576"/>
    <x v="0"/>
    <x v="9"/>
    <x v="0"/>
    <n v="71030"/>
  </r>
  <r>
    <s v="CSKU08002_2ES"/>
    <x v="2"/>
    <x v="1"/>
    <x v="0"/>
    <x v="7"/>
    <x v="1"/>
    <x v="7"/>
    <x v="576"/>
    <x v="0"/>
    <x v="9"/>
    <x v="0"/>
    <n v="74580"/>
  </r>
  <r>
    <s v="CSKU08105_2ES"/>
    <x v="2"/>
    <x v="1"/>
    <x v="0"/>
    <x v="4"/>
    <x v="4"/>
    <x v="7"/>
    <x v="577"/>
    <x v="0"/>
    <x v="9"/>
    <x v="0"/>
    <n v="73400"/>
  </r>
  <r>
    <s v="CSKU08429_2ES"/>
    <x v="2"/>
    <x v="1"/>
    <x v="0"/>
    <x v="4"/>
    <x v="4"/>
    <x v="7"/>
    <x v="578"/>
    <x v="0"/>
    <x v="9"/>
    <x v="0"/>
    <n v="73400"/>
  </r>
  <r>
    <s v="CSKU08430_2ES"/>
    <x v="2"/>
    <x v="1"/>
    <x v="0"/>
    <x v="0"/>
    <x v="4"/>
    <x v="7"/>
    <x v="578"/>
    <x v="0"/>
    <x v="9"/>
    <x v="0"/>
    <n v="76930"/>
  </r>
  <r>
    <s v="CSKU08512_2ES"/>
    <x v="2"/>
    <x v="1"/>
    <x v="1"/>
    <x v="7"/>
    <x v="1"/>
    <x v="7"/>
    <x v="573"/>
    <x v="1"/>
    <x v="9"/>
    <x v="0"/>
    <n v="82950"/>
  </r>
  <r>
    <s v="CSKU08576_2ES"/>
    <x v="2"/>
    <x v="1"/>
    <x v="0"/>
    <x v="4"/>
    <x v="1"/>
    <x v="7"/>
    <x v="574"/>
    <x v="0"/>
    <x v="9"/>
    <x v="0"/>
    <n v="60790"/>
  </r>
  <r>
    <s v="CSKU08577_2ES"/>
    <x v="2"/>
    <x v="1"/>
    <x v="0"/>
    <x v="0"/>
    <x v="1"/>
    <x v="7"/>
    <x v="574"/>
    <x v="0"/>
    <x v="9"/>
    <x v="0"/>
    <n v="64320"/>
  </r>
  <r>
    <s v="CSKU08578_2ES"/>
    <x v="2"/>
    <x v="1"/>
    <x v="0"/>
    <x v="7"/>
    <x v="1"/>
    <x v="7"/>
    <x v="574"/>
    <x v="0"/>
    <x v="9"/>
    <x v="0"/>
    <n v="67870"/>
  </r>
  <r>
    <s v="CSKU08579_2ES"/>
    <x v="2"/>
    <x v="1"/>
    <x v="1"/>
    <x v="4"/>
    <x v="4"/>
    <x v="7"/>
    <x v="574"/>
    <x v="1"/>
    <x v="9"/>
    <x v="0"/>
    <n v="56310"/>
  </r>
  <r>
    <s v="CSKU08580_2ES"/>
    <x v="2"/>
    <x v="1"/>
    <x v="1"/>
    <x v="0"/>
    <x v="4"/>
    <x v="7"/>
    <x v="574"/>
    <x v="1"/>
    <x v="9"/>
    <x v="0"/>
    <n v="60270"/>
  </r>
  <r>
    <s v="CSKU08581_2ES"/>
    <x v="2"/>
    <x v="1"/>
    <x v="1"/>
    <x v="7"/>
    <x v="4"/>
    <x v="7"/>
    <x v="574"/>
    <x v="1"/>
    <x v="9"/>
    <x v="0"/>
    <n v="64250"/>
  </r>
  <r>
    <s v="CSKU08582_2ES"/>
    <x v="2"/>
    <x v="1"/>
    <x v="1"/>
    <x v="4"/>
    <x v="1"/>
    <x v="7"/>
    <x v="574"/>
    <x v="1"/>
    <x v="9"/>
    <x v="0"/>
    <n v="65570"/>
  </r>
  <r>
    <s v="CSKU08583_2ES"/>
    <x v="2"/>
    <x v="1"/>
    <x v="1"/>
    <x v="0"/>
    <x v="1"/>
    <x v="7"/>
    <x v="574"/>
    <x v="1"/>
    <x v="9"/>
    <x v="0"/>
    <n v="69530"/>
  </r>
  <r>
    <s v="CSKU08584_2ES"/>
    <x v="2"/>
    <x v="1"/>
    <x v="1"/>
    <x v="7"/>
    <x v="1"/>
    <x v="7"/>
    <x v="574"/>
    <x v="1"/>
    <x v="9"/>
    <x v="0"/>
    <n v="73510"/>
  </r>
  <r>
    <s v="CSKU08106_2ES"/>
    <x v="2"/>
    <x v="1"/>
    <x v="0"/>
    <x v="0"/>
    <x v="4"/>
    <x v="7"/>
    <x v="577"/>
    <x v="0"/>
    <x v="9"/>
    <x v="0"/>
    <n v="76930"/>
  </r>
  <r>
    <s v="CSKU08431_2ES"/>
    <x v="2"/>
    <x v="1"/>
    <x v="0"/>
    <x v="7"/>
    <x v="4"/>
    <x v="7"/>
    <x v="578"/>
    <x v="0"/>
    <x v="9"/>
    <x v="0"/>
    <n v="80500"/>
  </r>
  <r>
    <s v="CSKU08107_2ES"/>
    <x v="2"/>
    <x v="1"/>
    <x v="0"/>
    <x v="7"/>
    <x v="4"/>
    <x v="7"/>
    <x v="577"/>
    <x v="0"/>
    <x v="9"/>
    <x v="0"/>
    <n v="80500"/>
  </r>
  <r>
    <s v="CSKU08108_2ES"/>
    <x v="2"/>
    <x v="1"/>
    <x v="0"/>
    <x v="4"/>
    <x v="1"/>
    <x v="7"/>
    <x v="577"/>
    <x v="0"/>
    <x v="9"/>
    <x v="0"/>
    <n v="87020"/>
  </r>
  <r>
    <s v="CSKU08109_2ES"/>
    <x v="2"/>
    <x v="1"/>
    <x v="0"/>
    <x v="0"/>
    <x v="1"/>
    <x v="7"/>
    <x v="577"/>
    <x v="0"/>
    <x v="9"/>
    <x v="0"/>
    <n v="90550"/>
  </r>
  <r>
    <s v="CSKU08110_2ES"/>
    <x v="2"/>
    <x v="1"/>
    <x v="0"/>
    <x v="7"/>
    <x v="1"/>
    <x v="7"/>
    <x v="577"/>
    <x v="0"/>
    <x v="9"/>
    <x v="0"/>
    <n v="94100"/>
  </r>
  <r>
    <s v="CSKU08111_2ES"/>
    <x v="2"/>
    <x v="1"/>
    <x v="1"/>
    <x v="4"/>
    <x v="4"/>
    <x v="7"/>
    <x v="577"/>
    <x v="1"/>
    <x v="9"/>
    <x v="0"/>
    <n v="77020"/>
  </r>
  <r>
    <s v="CSKU08112_2ES"/>
    <x v="2"/>
    <x v="1"/>
    <x v="1"/>
    <x v="4"/>
    <x v="1"/>
    <x v="7"/>
    <x v="577"/>
    <x v="1"/>
    <x v="9"/>
    <x v="0"/>
    <n v="91480"/>
  </r>
  <r>
    <s v="CSKU08113_2ES"/>
    <x v="2"/>
    <x v="1"/>
    <x v="1"/>
    <x v="0"/>
    <x v="4"/>
    <x v="7"/>
    <x v="577"/>
    <x v="1"/>
    <x v="9"/>
    <x v="0"/>
    <n v="80980"/>
  </r>
  <r>
    <s v="CSKU08114_2ES"/>
    <x v="2"/>
    <x v="1"/>
    <x v="1"/>
    <x v="0"/>
    <x v="1"/>
    <x v="7"/>
    <x v="577"/>
    <x v="1"/>
    <x v="9"/>
    <x v="0"/>
    <n v="95440"/>
  </r>
  <r>
    <s v="CSKU08115_2ES"/>
    <x v="2"/>
    <x v="1"/>
    <x v="1"/>
    <x v="7"/>
    <x v="4"/>
    <x v="7"/>
    <x v="577"/>
    <x v="1"/>
    <x v="9"/>
    <x v="0"/>
    <n v="84960"/>
  </r>
  <r>
    <s v="CSKU08116_2ES"/>
    <x v="2"/>
    <x v="1"/>
    <x v="1"/>
    <x v="7"/>
    <x v="1"/>
    <x v="7"/>
    <x v="577"/>
    <x v="1"/>
    <x v="9"/>
    <x v="0"/>
    <n v="99420"/>
  </r>
  <r>
    <s v="CSKU08213_2ES"/>
    <x v="2"/>
    <x v="1"/>
    <x v="0"/>
    <x v="4"/>
    <x v="4"/>
    <x v="7"/>
    <x v="579"/>
    <x v="0"/>
    <x v="9"/>
    <x v="0"/>
    <n v="64800"/>
  </r>
  <r>
    <s v="CSKU08214_2ES"/>
    <x v="2"/>
    <x v="1"/>
    <x v="0"/>
    <x v="0"/>
    <x v="4"/>
    <x v="7"/>
    <x v="579"/>
    <x v="0"/>
    <x v="9"/>
    <x v="0"/>
    <n v="68330"/>
  </r>
  <r>
    <s v="CSKU08215_2ES"/>
    <x v="2"/>
    <x v="1"/>
    <x v="0"/>
    <x v="7"/>
    <x v="4"/>
    <x v="7"/>
    <x v="579"/>
    <x v="0"/>
    <x v="9"/>
    <x v="0"/>
    <n v="71900"/>
  </r>
  <r>
    <s v="CSKU08216_2ES"/>
    <x v="2"/>
    <x v="1"/>
    <x v="0"/>
    <x v="4"/>
    <x v="1"/>
    <x v="7"/>
    <x v="579"/>
    <x v="0"/>
    <x v="9"/>
    <x v="0"/>
    <n v="76040"/>
  </r>
  <r>
    <s v="CSKU08217_2ES"/>
    <x v="2"/>
    <x v="1"/>
    <x v="0"/>
    <x v="0"/>
    <x v="1"/>
    <x v="7"/>
    <x v="579"/>
    <x v="0"/>
    <x v="9"/>
    <x v="0"/>
    <n v="79570"/>
  </r>
  <r>
    <s v="CSKU08218_2ES"/>
    <x v="2"/>
    <x v="1"/>
    <x v="0"/>
    <x v="7"/>
    <x v="1"/>
    <x v="7"/>
    <x v="579"/>
    <x v="0"/>
    <x v="9"/>
    <x v="0"/>
    <n v="83120"/>
  </r>
  <r>
    <s v="CSKU08219_2ES"/>
    <x v="2"/>
    <x v="1"/>
    <x v="1"/>
    <x v="4"/>
    <x v="4"/>
    <x v="7"/>
    <x v="579"/>
    <x v="1"/>
    <x v="9"/>
    <x v="0"/>
    <n v="68420"/>
  </r>
  <r>
    <s v="CSKU08220_2ES"/>
    <x v="2"/>
    <x v="1"/>
    <x v="1"/>
    <x v="4"/>
    <x v="1"/>
    <x v="7"/>
    <x v="579"/>
    <x v="1"/>
    <x v="9"/>
    <x v="0"/>
    <n v="80500"/>
  </r>
  <r>
    <s v="CSKU08432_2ES"/>
    <x v="2"/>
    <x v="1"/>
    <x v="0"/>
    <x v="4"/>
    <x v="1"/>
    <x v="7"/>
    <x v="578"/>
    <x v="0"/>
    <x v="9"/>
    <x v="0"/>
    <n v="87020"/>
  </r>
  <r>
    <s v="CSKU08433_2ES"/>
    <x v="2"/>
    <x v="1"/>
    <x v="0"/>
    <x v="0"/>
    <x v="1"/>
    <x v="7"/>
    <x v="578"/>
    <x v="0"/>
    <x v="9"/>
    <x v="0"/>
    <n v="90550"/>
  </r>
  <r>
    <s v="CSKU08434_2ES"/>
    <x v="2"/>
    <x v="1"/>
    <x v="0"/>
    <x v="7"/>
    <x v="1"/>
    <x v="7"/>
    <x v="578"/>
    <x v="0"/>
    <x v="9"/>
    <x v="0"/>
    <n v="94100"/>
  </r>
  <r>
    <s v="CSKU08435_2ES"/>
    <x v="2"/>
    <x v="1"/>
    <x v="1"/>
    <x v="4"/>
    <x v="4"/>
    <x v="7"/>
    <x v="578"/>
    <x v="1"/>
    <x v="9"/>
    <x v="0"/>
    <n v="77020"/>
  </r>
  <r>
    <s v="CSKU08436_2ES"/>
    <x v="2"/>
    <x v="1"/>
    <x v="1"/>
    <x v="4"/>
    <x v="1"/>
    <x v="7"/>
    <x v="578"/>
    <x v="1"/>
    <x v="9"/>
    <x v="0"/>
    <n v="91480"/>
  </r>
  <r>
    <s v="CSKU08437_2ES"/>
    <x v="2"/>
    <x v="1"/>
    <x v="1"/>
    <x v="0"/>
    <x v="4"/>
    <x v="7"/>
    <x v="578"/>
    <x v="1"/>
    <x v="9"/>
    <x v="0"/>
    <n v="80980"/>
  </r>
  <r>
    <s v="CSKU08438_2ES"/>
    <x v="2"/>
    <x v="1"/>
    <x v="1"/>
    <x v="0"/>
    <x v="1"/>
    <x v="7"/>
    <x v="578"/>
    <x v="1"/>
    <x v="9"/>
    <x v="0"/>
    <n v="95440"/>
  </r>
  <r>
    <s v="CSKU08439_2ES"/>
    <x v="2"/>
    <x v="1"/>
    <x v="1"/>
    <x v="7"/>
    <x v="4"/>
    <x v="7"/>
    <x v="578"/>
    <x v="1"/>
    <x v="9"/>
    <x v="0"/>
    <n v="84960"/>
  </r>
  <r>
    <s v="CSKU08440_2ES"/>
    <x v="2"/>
    <x v="1"/>
    <x v="1"/>
    <x v="7"/>
    <x v="1"/>
    <x v="7"/>
    <x v="578"/>
    <x v="1"/>
    <x v="9"/>
    <x v="0"/>
    <n v="99420"/>
  </r>
  <r>
    <s v="CSKU08221_2ES"/>
    <x v="2"/>
    <x v="1"/>
    <x v="1"/>
    <x v="0"/>
    <x v="4"/>
    <x v="7"/>
    <x v="579"/>
    <x v="1"/>
    <x v="9"/>
    <x v="0"/>
    <n v="72380"/>
  </r>
  <r>
    <s v="CSKU08222_2ES"/>
    <x v="2"/>
    <x v="1"/>
    <x v="1"/>
    <x v="0"/>
    <x v="1"/>
    <x v="7"/>
    <x v="579"/>
    <x v="1"/>
    <x v="9"/>
    <x v="0"/>
    <n v="84460"/>
  </r>
  <r>
    <s v="CSKU08223_2ES"/>
    <x v="2"/>
    <x v="1"/>
    <x v="1"/>
    <x v="7"/>
    <x v="4"/>
    <x v="7"/>
    <x v="579"/>
    <x v="1"/>
    <x v="9"/>
    <x v="0"/>
    <n v="76360"/>
  </r>
  <r>
    <s v="CSKU08224_2ES"/>
    <x v="2"/>
    <x v="1"/>
    <x v="1"/>
    <x v="7"/>
    <x v="1"/>
    <x v="7"/>
    <x v="579"/>
    <x v="1"/>
    <x v="9"/>
    <x v="0"/>
    <n v="88440"/>
  </r>
  <r>
    <s v="CSKU08003_2ES"/>
    <x v="2"/>
    <x v="1"/>
    <x v="1"/>
    <x v="4"/>
    <x v="4"/>
    <x v="7"/>
    <x v="576"/>
    <x v="1"/>
    <x v="9"/>
    <x v="0"/>
    <n v="61400"/>
  </r>
  <r>
    <s v="CSKU08357_2ES"/>
    <x v="2"/>
    <x v="1"/>
    <x v="0"/>
    <x v="4"/>
    <x v="4"/>
    <x v="7"/>
    <x v="123"/>
    <x v="0"/>
    <x v="9"/>
    <x v="0"/>
    <n v="64800"/>
  </r>
  <r>
    <s v="CSKU08004_2ES"/>
    <x v="2"/>
    <x v="1"/>
    <x v="1"/>
    <x v="0"/>
    <x v="4"/>
    <x v="7"/>
    <x v="576"/>
    <x v="1"/>
    <x v="9"/>
    <x v="0"/>
    <n v="65360"/>
  </r>
  <r>
    <s v="CSKU08005_2ES"/>
    <x v="2"/>
    <x v="1"/>
    <x v="1"/>
    <x v="7"/>
    <x v="4"/>
    <x v="7"/>
    <x v="576"/>
    <x v="1"/>
    <x v="9"/>
    <x v="0"/>
    <n v="69340"/>
  </r>
  <r>
    <s v="CSKU08006_2ES"/>
    <x v="2"/>
    <x v="1"/>
    <x v="1"/>
    <x v="4"/>
    <x v="1"/>
    <x v="7"/>
    <x v="576"/>
    <x v="1"/>
    <x v="9"/>
    <x v="0"/>
    <n v="72600"/>
  </r>
  <r>
    <s v="CSKU08007_2ES"/>
    <x v="2"/>
    <x v="1"/>
    <x v="1"/>
    <x v="0"/>
    <x v="1"/>
    <x v="7"/>
    <x v="576"/>
    <x v="1"/>
    <x v="9"/>
    <x v="0"/>
    <n v="76560"/>
  </r>
  <r>
    <s v="CSKU08008_2ES"/>
    <x v="2"/>
    <x v="1"/>
    <x v="1"/>
    <x v="7"/>
    <x v="1"/>
    <x v="7"/>
    <x v="576"/>
    <x v="1"/>
    <x v="9"/>
    <x v="0"/>
    <n v="80540"/>
  </r>
  <r>
    <s v="CSKU08141_2ES"/>
    <x v="2"/>
    <x v="1"/>
    <x v="0"/>
    <x v="4"/>
    <x v="4"/>
    <x v="7"/>
    <x v="580"/>
    <x v="0"/>
    <x v="9"/>
    <x v="0"/>
    <n v="73400"/>
  </r>
  <r>
    <s v="CSKU08249_2ES"/>
    <x v="2"/>
    <x v="1"/>
    <x v="0"/>
    <x v="4"/>
    <x v="4"/>
    <x v="7"/>
    <x v="581"/>
    <x v="0"/>
    <x v="9"/>
    <x v="0"/>
    <n v="64800"/>
  </r>
  <r>
    <s v="CSKU08250_2ES"/>
    <x v="2"/>
    <x v="1"/>
    <x v="0"/>
    <x v="0"/>
    <x v="4"/>
    <x v="7"/>
    <x v="581"/>
    <x v="0"/>
    <x v="9"/>
    <x v="0"/>
    <n v="68330"/>
  </r>
  <r>
    <s v="CSKU08251_2ES"/>
    <x v="2"/>
    <x v="1"/>
    <x v="0"/>
    <x v="7"/>
    <x v="4"/>
    <x v="7"/>
    <x v="581"/>
    <x v="0"/>
    <x v="9"/>
    <x v="0"/>
    <n v="71900"/>
  </r>
  <r>
    <s v="CSKU08252_2ES"/>
    <x v="2"/>
    <x v="1"/>
    <x v="0"/>
    <x v="4"/>
    <x v="1"/>
    <x v="7"/>
    <x v="581"/>
    <x v="0"/>
    <x v="9"/>
    <x v="0"/>
    <n v="76040"/>
  </r>
  <r>
    <s v="CSKU08253_2ES"/>
    <x v="2"/>
    <x v="1"/>
    <x v="0"/>
    <x v="0"/>
    <x v="1"/>
    <x v="7"/>
    <x v="581"/>
    <x v="0"/>
    <x v="9"/>
    <x v="0"/>
    <n v="79570"/>
  </r>
  <r>
    <s v="CSKU08254_2ES"/>
    <x v="2"/>
    <x v="1"/>
    <x v="0"/>
    <x v="7"/>
    <x v="1"/>
    <x v="7"/>
    <x v="581"/>
    <x v="0"/>
    <x v="9"/>
    <x v="0"/>
    <n v="83120"/>
  </r>
  <r>
    <s v="CSKU08255_2ES"/>
    <x v="2"/>
    <x v="1"/>
    <x v="1"/>
    <x v="4"/>
    <x v="4"/>
    <x v="7"/>
    <x v="581"/>
    <x v="1"/>
    <x v="9"/>
    <x v="0"/>
    <n v="68420"/>
  </r>
  <r>
    <s v="CSKU08256_2ES"/>
    <x v="2"/>
    <x v="1"/>
    <x v="1"/>
    <x v="4"/>
    <x v="1"/>
    <x v="7"/>
    <x v="581"/>
    <x v="1"/>
    <x v="9"/>
    <x v="0"/>
    <n v="80500"/>
  </r>
  <r>
    <s v="CSKU08142_2ES"/>
    <x v="2"/>
    <x v="1"/>
    <x v="0"/>
    <x v="0"/>
    <x v="4"/>
    <x v="7"/>
    <x v="580"/>
    <x v="0"/>
    <x v="9"/>
    <x v="0"/>
    <n v="76930"/>
  </r>
  <r>
    <s v="CSKU08257_2ES"/>
    <x v="2"/>
    <x v="1"/>
    <x v="1"/>
    <x v="0"/>
    <x v="4"/>
    <x v="7"/>
    <x v="581"/>
    <x v="1"/>
    <x v="9"/>
    <x v="0"/>
    <n v="72380"/>
  </r>
  <r>
    <s v="CSKU08358_2ES"/>
    <x v="2"/>
    <x v="1"/>
    <x v="0"/>
    <x v="0"/>
    <x v="4"/>
    <x v="7"/>
    <x v="123"/>
    <x v="0"/>
    <x v="9"/>
    <x v="0"/>
    <n v="68330"/>
  </r>
  <r>
    <s v="CSKU08359_2ES"/>
    <x v="2"/>
    <x v="1"/>
    <x v="0"/>
    <x v="7"/>
    <x v="4"/>
    <x v="7"/>
    <x v="123"/>
    <x v="0"/>
    <x v="9"/>
    <x v="0"/>
    <n v="71900"/>
  </r>
  <r>
    <s v="CSKU07817_2ES"/>
    <x v="2"/>
    <x v="1"/>
    <x v="0"/>
    <x v="4"/>
    <x v="4"/>
    <x v="7"/>
    <x v="582"/>
    <x v="0"/>
    <x v="9"/>
    <x v="0"/>
    <n v="57140"/>
  </r>
  <r>
    <s v="CSKU07818_2ES"/>
    <x v="2"/>
    <x v="1"/>
    <x v="0"/>
    <x v="0"/>
    <x v="4"/>
    <x v="7"/>
    <x v="582"/>
    <x v="0"/>
    <x v="9"/>
    <x v="0"/>
    <n v="60670"/>
  </r>
  <r>
    <s v="CSKU07819_2ES"/>
    <x v="2"/>
    <x v="1"/>
    <x v="0"/>
    <x v="7"/>
    <x v="4"/>
    <x v="7"/>
    <x v="582"/>
    <x v="0"/>
    <x v="9"/>
    <x v="0"/>
    <n v="64240"/>
  </r>
  <r>
    <s v="CSKU07820_2ES"/>
    <x v="2"/>
    <x v="1"/>
    <x v="0"/>
    <x v="4"/>
    <x v="1"/>
    <x v="7"/>
    <x v="582"/>
    <x v="0"/>
    <x v="9"/>
    <x v="0"/>
    <n v="67500"/>
  </r>
  <r>
    <s v="CSKU07925_2ES"/>
    <x v="2"/>
    <x v="1"/>
    <x v="0"/>
    <x v="4"/>
    <x v="4"/>
    <x v="7"/>
    <x v="583"/>
    <x v="0"/>
    <x v="9"/>
    <x v="0"/>
    <n v="48540"/>
  </r>
  <r>
    <s v="CSKU07926_2ES"/>
    <x v="2"/>
    <x v="1"/>
    <x v="0"/>
    <x v="0"/>
    <x v="4"/>
    <x v="7"/>
    <x v="583"/>
    <x v="0"/>
    <x v="9"/>
    <x v="0"/>
    <n v="52070"/>
  </r>
  <r>
    <s v="CSKU07927_2ES"/>
    <x v="2"/>
    <x v="1"/>
    <x v="0"/>
    <x v="7"/>
    <x v="4"/>
    <x v="7"/>
    <x v="583"/>
    <x v="0"/>
    <x v="9"/>
    <x v="0"/>
    <n v="55640"/>
  </r>
  <r>
    <s v="CSKU07928_2ES"/>
    <x v="2"/>
    <x v="1"/>
    <x v="0"/>
    <x v="4"/>
    <x v="1"/>
    <x v="7"/>
    <x v="583"/>
    <x v="0"/>
    <x v="9"/>
    <x v="0"/>
    <n v="56520"/>
  </r>
  <r>
    <s v="CSKU07929_2ES"/>
    <x v="2"/>
    <x v="1"/>
    <x v="0"/>
    <x v="0"/>
    <x v="1"/>
    <x v="7"/>
    <x v="583"/>
    <x v="0"/>
    <x v="9"/>
    <x v="0"/>
    <n v="60050"/>
  </r>
  <r>
    <s v="CSKU07930_2ES"/>
    <x v="2"/>
    <x v="1"/>
    <x v="0"/>
    <x v="7"/>
    <x v="1"/>
    <x v="7"/>
    <x v="583"/>
    <x v="0"/>
    <x v="9"/>
    <x v="0"/>
    <n v="63600"/>
  </r>
  <r>
    <s v="CSKU08033_2ES"/>
    <x v="2"/>
    <x v="1"/>
    <x v="0"/>
    <x v="4"/>
    <x v="4"/>
    <x v="7"/>
    <x v="584"/>
    <x v="0"/>
    <x v="9"/>
    <x v="0"/>
    <n v="48540"/>
  </r>
  <r>
    <s v="CSKU08034_2ES"/>
    <x v="2"/>
    <x v="1"/>
    <x v="0"/>
    <x v="0"/>
    <x v="4"/>
    <x v="7"/>
    <x v="584"/>
    <x v="0"/>
    <x v="9"/>
    <x v="0"/>
    <n v="52070"/>
  </r>
  <r>
    <s v="CSKU08035_2ES"/>
    <x v="2"/>
    <x v="1"/>
    <x v="0"/>
    <x v="7"/>
    <x v="4"/>
    <x v="7"/>
    <x v="584"/>
    <x v="0"/>
    <x v="9"/>
    <x v="0"/>
    <n v="55640"/>
  </r>
  <r>
    <s v="CSKU08036_2ES"/>
    <x v="2"/>
    <x v="1"/>
    <x v="0"/>
    <x v="4"/>
    <x v="1"/>
    <x v="7"/>
    <x v="584"/>
    <x v="0"/>
    <x v="9"/>
    <x v="0"/>
    <n v="56520"/>
  </r>
  <r>
    <s v="CSKU08037_2ES"/>
    <x v="2"/>
    <x v="1"/>
    <x v="0"/>
    <x v="0"/>
    <x v="1"/>
    <x v="7"/>
    <x v="584"/>
    <x v="0"/>
    <x v="9"/>
    <x v="0"/>
    <n v="60050"/>
  </r>
  <r>
    <s v="CSKU08038_2ES"/>
    <x v="2"/>
    <x v="1"/>
    <x v="0"/>
    <x v="7"/>
    <x v="1"/>
    <x v="7"/>
    <x v="584"/>
    <x v="0"/>
    <x v="9"/>
    <x v="0"/>
    <n v="63600"/>
  </r>
  <r>
    <s v="CSKU08039_2ES"/>
    <x v="2"/>
    <x v="1"/>
    <x v="1"/>
    <x v="4"/>
    <x v="4"/>
    <x v="7"/>
    <x v="584"/>
    <x v="1"/>
    <x v="9"/>
    <x v="0"/>
    <n v="52800"/>
  </r>
  <r>
    <s v="CSKU08040_2ES"/>
    <x v="2"/>
    <x v="1"/>
    <x v="1"/>
    <x v="0"/>
    <x v="4"/>
    <x v="7"/>
    <x v="584"/>
    <x v="1"/>
    <x v="9"/>
    <x v="0"/>
    <n v="56760"/>
  </r>
  <r>
    <s v="CSKU08143_2ES"/>
    <x v="2"/>
    <x v="1"/>
    <x v="0"/>
    <x v="7"/>
    <x v="4"/>
    <x v="7"/>
    <x v="580"/>
    <x v="0"/>
    <x v="9"/>
    <x v="0"/>
    <n v="80500"/>
  </r>
  <r>
    <s v="CSKU08144_2ES"/>
    <x v="2"/>
    <x v="1"/>
    <x v="0"/>
    <x v="4"/>
    <x v="1"/>
    <x v="7"/>
    <x v="580"/>
    <x v="0"/>
    <x v="9"/>
    <x v="0"/>
    <n v="87020"/>
  </r>
  <r>
    <s v="CSKU08145_2ES"/>
    <x v="2"/>
    <x v="1"/>
    <x v="0"/>
    <x v="0"/>
    <x v="1"/>
    <x v="7"/>
    <x v="580"/>
    <x v="0"/>
    <x v="9"/>
    <x v="0"/>
    <n v="90550"/>
  </r>
  <r>
    <s v="CSKU08146_2ES"/>
    <x v="2"/>
    <x v="1"/>
    <x v="0"/>
    <x v="7"/>
    <x v="1"/>
    <x v="7"/>
    <x v="580"/>
    <x v="0"/>
    <x v="9"/>
    <x v="0"/>
    <n v="94100"/>
  </r>
  <r>
    <s v="CSKU08147_2ES"/>
    <x v="2"/>
    <x v="1"/>
    <x v="1"/>
    <x v="4"/>
    <x v="4"/>
    <x v="7"/>
    <x v="580"/>
    <x v="1"/>
    <x v="9"/>
    <x v="0"/>
    <n v="77020"/>
  </r>
  <r>
    <s v="CSKU08148_2ES"/>
    <x v="2"/>
    <x v="1"/>
    <x v="1"/>
    <x v="4"/>
    <x v="1"/>
    <x v="7"/>
    <x v="580"/>
    <x v="1"/>
    <x v="9"/>
    <x v="0"/>
    <n v="91480"/>
  </r>
  <r>
    <s v="CSKU08149_2ES"/>
    <x v="2"/>
    <x v="1"/>
    <x v="1"/>
    <x v="0"/>
    <x v="4"/>
    <x v="7"/>
    <x v="580"/>
    <x v="1"/>
    <x v="9"/>
    <x v="0"/>
    <n v="80980"/>
  </r>
  <r>
    <s v="CSKU08150_2ES"/>
    <x v="2"/>
    <x v="1"/>
    <x v="1"/>
    <x v="0"/>
    <x v="1"/>
    <x v="7"/>
    <x v="580"/>
    <x v="1"/>
    <x v="9"/>
    <x v="0"/>
    <n v="95440"/>
  </r>
  <r>
    <s v="CSKU08151_2ES"/>
    <x v="2"/>
    <x v="1"/>
    <x v="1"/>
    <x v="7"/>
    <x v="4"/>
    <x v="7"/>
    <x v="580"/>
    <x v="1"/>
    <x v="9"/>
    <x v="0"/>
    <n v="84960"/>
  </r>
  <r>
    <s v="CSKU08152_2ES"/>
    <x v="2"/>
    <x v="1"/>
    <x v="1"/>
    <x v="7"/>
    <x v="1"/>
    <x v="7"/>
    <x v="580"/>
    <x v="1"/>
    <x v="9"/>
    <x v="0"/>
    <n v="99420"/>
  </r>
  <r>
    <s v="CSKU08258_2ES"/>
    <x v="2"/>
    <x v="1"/>
    <x v="1"/>
    <x v="0"/>
    <x v="1"/>
    <x v="7"/>
    <x v="581"/>
    <x v="1"/>
    <x v="9"/>
    <x v="0"/>
    <n v="84460"/>
  </r>
  <r>
    <s v="CSKU08259_2ES"/>
    <x v="2"/>
    <x v="1"/>
    <x v="1"/>
    <x v="7"/>
    <x v="4"/>
    <x v="7"/>
    <x v="581"/>
    <x v="1"/>
    <x v="9"/>
    <x v="0"/>
    <n v="76360"/>
  </r>
  <r>
    <s v="CSKU08260_2ES"/>
    <x v="2"/>
    <x v="1"/>
    <x v="1"/>
    <x v="7"/>
    <x v="1"/>
    <x v="7"/>
    <x v="581"/>
    <x v="1"/>
    <x v="9"/>
    <x v="0"/>
    <n v="88440"/>
  </r>
  <r>
    <s v="CSKU07608_2ES"/>
    <x v="2"/>
    <x v="1"/>
    <x v="1"/>
    <x v="4"/>
    <x v="1"/>
    <x v="7"/>
    <x v="559"/>
    <x v="1"/>
    <x v="9"/>
    <x v="0"/>
    <n v="77880"/>
  </r>
  <r>
    <s v="CSKU07609_2ES"/>
    <x v="2"/>
    <x v="1"/>
    <x v="1"/>
    <x v="0"/>
    <x v="4"/>
    <x v="7"/>
    <x v="559"/>
    <x v="1"/>
    <x v="9"/>
    <x v="0"/>
    <n v="70040"/>
  </r>
  <r>
    <s v="CSKU07610_2ES"/>
    <x v="2"/>
    <x v="1"/>
    <x v="1"/>
    <x v="0"/>
    <x v="1"/>
    <x v="7"/>
    <x v="559"/>
    <x v="1"/>
    <x v="9"/>
    <x v="0"/>
    <n v="81840"/>
  </r>
  <r>
    <s v="CSKU07611_2ES"/>
    <x v="2"/>
    <x v="1"/>
    <x v="1"/>
    <x v="7"/>
    <x v="4"/>
    <x v="7"/>
    <x v="559"/>
    <x v="1"/>
    <x v="9"/>
    <x v="0"/>
    <n v="74020"/>
  </r>
  <r>
    <s v="CSKU07612_2ES"/>
    <x v="2"/>
    <x v="1"/>
    <x v="1"/>
    <x v="7"/>
    <x v="1"/>
    <x v="7"/>
    <x v="559"/>
    <x v="1"/>
    <x v="9"/>
    <x v="0"/>
    <n v="85820"/>
  </r>
  <r>
    <s v="CSKU07711_2ES"/>
    <x v="2"/>
    <x v="1"/>
    <x v="0"/>
    <x v="7"/>
    <x v="4"/>
    <x v="7"/>
    <x v="560"/>
    <x v="0"/>
    <x v="9"/>
    <x v="0"/>
    <n v="60960"/>
  </r>
  <r>
    <s v="CSKU07712_2ES"/>
    <x v="2"/>
    <x v="1"/>
    <x v="0"/>
    <x v="4"/>
    <x v="1"/>
    <x v="7"/>
    <x v="560"/>
    <x v="0"/>
    <x v="9"/>
    <x v="0"/>
    <n v="62440"/>
  </r>
  <r>
    <s v="CSKU07713_2ES"/>
    <x v="2"/>
    <x v="1"/>
    <x v="0"/>
    <x v="0"/>
    <x v="1"/>
    <x v="7"/>
    <x v="560"/>
    <x v="0"/>
    <x v="9"/>
    <x v="0"/>
    <n v="65970"/>
  </r>
  <r>
    <s v="CSKU07714_2ES"/>
    <x v="2"/>
    <x v="1"/>
    <x v="0"/>
    <x v="7"/>
    <x v="1"/>
    <x v="7"/>
    <x v="560"/>
    <x v="0"/>
    <x v="9"/>
    <x v="0"/>
    <n v="69520"/>
  </r>
  <r>
    <s v="CSKU07715_2ES"/>
    <x v="2"/>
    <x v="1"/>
    <x v="1"/>
    <x v="4"/>
    <x v="4"/>
    <x v="7"/>
    <x v="560"/>
    <x v="1"/>
    <x v="9"/>
    <x v="0"/>
    <n v="57480"/>
  </r>
  <r>
    <s v="CSKU07716_2ES"/>
    <x v="2"/>
    <x v="1"/>
    <x v="1"/>
    <x v="4"/>
    <x v="1"/>
    <x v="7"/>
    <x v="560"/>
    <x v="1"/>
    <x v="9"/>
    <x v="0"/>
    <n v="66900"/>
  </r>
  <r>
    <s v="CSKU07717_2ES"/>
    <x v="2"/>
    <x v="1"/>
    <x v="1"/>
    <x v="0"/>
    <x v="4"/>
    <x v="7"/>
    <x v="560"/>
    <x v="1"/>
    <x v="9"/>
    <x v="0"/>
    <n v="61440"/>
  </r>
  <r>
    <s v="CSKU07718_2ES"/>
    <x v="2"/>
    <x v="1"/>
    <x v="1"/>
    <x v="0"/>
    <x v="1"/>
    <x v="7"/>
    <x v="560"/>
    <x v="1"/>
    <x v="9"/>
    <x v="0"/>
    <n v="70860"/>
  </r>
  <r>
    <s v="CSKU07719_2ES"/>
    <x v="2"/>
    <x v="1"/>
    <x v="1"/>
    <x v="7"/>
    <x v="4"/>
    <x v="7"/>
    <x v="560"/>
    <x v="1"/>
    <x v="9"/>
    <x v="0"/>
    <n v="65420"/>
  </r>
  <r>
    <s v="CSKU07720_2ES"/>
    <x v="2"/>
    <x v="1"/>
    <x v="1"/>
    <x v="7"/>
    <x v="1"/>
    <x v="7"/>
    <x v="560"/>
    <x v="1"/>
    <x v="9"/>
    <x v="0"/>
    <n v="74840"/>
  </r>
  <r>
    <s v="CSKU07565_2ES"/>
    <x v="2"/>
    <x v="1"/>
    <x v="0"/>
    <x v="4"/>
    <x v="4"/>
    <x v="7"/>
    <x v="120"/>
    <x v="0"/>
    <x v="9"/>
    <x v="0"/>
    <n v="62460"/>
  </r>
  <r>
    <s v="CSKU07566_2ES"/>
    <x v="2"/>
    <x v="1"/>
    <x v="0"/>
    <x v="0"/>
    <x v="4"/>
    <x v="7"/>
    <x v="120"/>
    <x v="0"/>
    <x v="9"/>
    <x v="0"/>
    <n v="65990"/>
  </r>
  <r>
    <s v="CSKU07567_2ES"/>
    <x v="2"/>
    <x v="1"/>
    <x v="0"/>
    <x v="7"/>
    <x v="4"/>
    <x v="7"/>
    <x v="120"/>
    <x v="0"/>
    <x v="9"/>
    <x v="0"/>
    <n v="69560"/>
  </r>
  <r>
    <s v="CSKU07821_2ES"/>
    <x v="2"/>
    <x v="1"/>
    <x v="0"/>
    <x v="0"/>
    <x v="1"/>
    <x v="7"/>
    <x v="582"/>
    <x v="0"/>
    <x v="9"/>
    <x v="0"/>
    <n v="71030"/>
  </r>
  <r>
    <s v="CSKU07931_2ES"/>
    <x v="2"/>
    <x v="1"/>
    <x v="1"/>
    <x v="4"/>
    <x v="4"/>
    <x v="7"/>
    <x v="583"/>
    <x v="1"/>
    <x v="9"/>
    <x v="0"/>
    <n v="52800"/>
  </r>
  <r>
    <s v="CSKU08041_2ES"/>
    <x v="2"/>
    <x v="1"/>
    <x v="1"/>
    <x v="7"/>
    <x v="4"/>
    <x v="7"/>
    <x v="584"/>
    <x v="1"/>
    <x v="9"/>
    <x v="0"/>
    <n v="60740"/>
  </r>
  <r>
    <s v="CSKU07822_2ES"/>
    <x v="2"/>
    <x v="1"/>
    <x v="0"/>
    <x v="7"/>
    <x v="1"/>
    <x v="7"/>
    <x v="582"/>
    <x v="0"/>
    <x v="9"/>
    <x v="0"/>
    <n v="74580"/>
  </r>
  <r>
    <s v="CSKU07823_2ES"/>
    <x v="2"/>
    <x v="1"/>
    <x v="1"/>
    <x v="4"/>
    <x v="4"/>
    <x v="7"/>
    <x v="582"/>
    <x v="1"/>
    <x v="9"/>
    <x v="0"/>
    <n v="61400"/>
  </r>
  <r>
    <s v="CSKU07824_2ES"/>
    <x v="2"/>
    <x v="1"/>
    <x v="1"/>
    <x v="0"/>
    <x v="4"/>
    <x v="7"/>
    <x v="582"/>
    <x v="1"/>
    <x v="9"/>
    <x v="0"/>
    <n v="65360"/>
  </r>
  <r>
    <s v="CSKU07825_2ES"/>
    <x v="2"/>
    <x v="1"/>
    <x v="1"/>
    <x v="7"/>
    <x v="4"/>
    <x v="7"/>
    <x v="582"/>
    <x v="1"/>
    <x v="9"/>
    <x v="0"/>
    <n v="69340"/>
  </r>
  <r>
    <s v="CSKU07826_2ES"/>
    <x v="2"/>
    <x v="1"/>
    <x v="1"/>
    <x v="4"/>
    <x v="1"/>
    <x v="7"/>
    <x v="582"/>
    <x v="1"/>
    <x v="9"/>
    <x v="0"/>
    <n v="72600"/>
  </r>
  <r>
    <s v="CSKU07827_2ES"/>
    <x v="2"/>
    <x v="1"/>
    <x v="1"/>
    <x v="0"/>
    <x v="1"/>
    <x v="7"/>
    <x v="582"/>
    <x v="1"/>
    <x v="9"/>
    <x v="0"/>
    <n v="76560"/>
  </r>
  <r>
    <s v="CSKU07828_2ES"/>
    <x v="2"/>
    <x v="1"/>
    <x v="1"/>
    <x v="7"/>
    <x v="1"/>
    <x v="7"/>
    <x v="582"/>
    <x v="1"/>
    <x v="9"/>
    <x v="0"/>
    <n v="80540"/>
  </r>
  <r>
    <s v="CSKU07932_2ES"/>
    <x v="2"/>
    <x v="1"/>
    <x v="1"/>
    <x v="0"/>
    <x v="4"/>
    <x v="7"/>
    <x v="583"/>
    <x v="1"/>
    <x v="9"/>
    <x v="0"/>
    <n v="56760"/>
  </r>
  <r>
    <s v="CSKU07933_2ES"/>
    <x v="2"/>
    <x v="1"/>
    <x v="1"/>
    <x v="7"/>
    <x v="4"/>
    <x v="7"/>
    <x v="583"/>
    <x v="1"/>
    <x v="9"/>
    <x v="0"/>
    <n v="60740"/>
  </r>
  <r>
    <s v="CSKU07934_2ES"/>
    <x v="2"/>
    <x v="1"/>
    <x v="1"/>
    <x v="4"/>
    <x v="1"/>
    <x v="7"/>
    <x v="583"/>
    <x v="1"/>
    <x v="9"/>
    <x v="0"/>
    <n v="61620"/>
  </r>
  <r>
    <s v="CSKU07935_2ES"/>
    <x v="2"/>
    <x v="1"/>
    <x v="1"/>
    <x v="0"/>
    <x v="1"/>
    <x v="7"/>
    <x v="583"/>
    <x v="1"/>
    <x v="9"/>
    <x v="0"/>
    <n v="65580"/>
  </r>
  <r>
    <s v="CSKU07936_2ES"/>
    <x v="2"/>
    <x v="1"/>
    <x v="1"/>
    <x v="7"/>
    <x v="1"/>
    <x v="7"/>
    <x v="583"/>
    <x v="1"/>
    <x v="9"/>
    <x v="0"/>
    <n v="69560"/>
  </r>
  <r>
    <s v="CSKU08042_2ES"/>
    <x v="2"/>
    <x v="1"/>
    <x v="1"/>
    <x v="4"/>
    <x v="1"/>
    <x v="7"/>
    <x v="584"/>
    <x v="1"/>
    <x v="9"/>
    <x v="0"/>
    <n v="61620"/>
  </r>
  <r>
    <s v="CSKU08043_2ES"/>
    <x v="2"/>
    <x v="1"/>
    <x v="1"/>
    <x v="0"/>
    <x v="1"/>
    <x v="7"/>
    <x v="584"/>
    <x v="1"/>
    <x v="9"/>
    <x v="0"/>
    <n v="65580"/>
  </r>
  <r>
    <s v="CSKU08044_2ES"/>
    <x v="2"/>
    <x v="1"/>
    <x v="1"/>
    <x v="7"/>
    <x v="1"/>
    <x v="7"/>
    <x v="584"/>
    <x v="1"/>
    <x v="9"/>
    <x v="0"/>
    <n v="69560"/>
  </r>
  <r>
    <s v="CSKU07673_2ES"/>
    <x v="2"/>
    <x v="1"/>
    <x v="0"/>
    <x v="4"/>
    <x v="4"/>
    <x v="7"/>
    <x v="121"/>
    <x v="0"/>
    <x v="9"/>
    <x v="0"/>
    <n v="62460"/>
  </r>
  <r>
    <s v="CSKU07745_2ES"/>
    <x v="2"/>
    <x v="1"/>
    <x v="0"/>
    <x v="4"/>
    <x v="4"/>
    <x v="7"/>
    <x v="585"/>
    <x v="0"/>
    <x v="9"/>
    <x v="0"/>
    <n v="64800"/>
  </r>
  <r>
    <s v="CSKU07746_2ES"/>
    <x v="2"/>
    <x v="1"/>
    <x v="0"/>
    <x v="0"/>
    <x v="4"/>
    <x v="7"/>
    <x v="585"/>
    <x v="0"/>
    <x v="9"/>
    <x v="0"/>
    <n v="68330"/>
  </r>
  <r>
    <s v="CSKU07747_2ES"/>
    <x v="2"/>
    <x v="1"/>
    <x v="0"/>
    <x v="7"/>
    <x v="4"/>
    <x v="7"/>
    <x v="585"/>
    <x v="0"/>
    <x v="9"/>
    <x v="0"/>
    <n v="71900"/>
  </r>
  <r>
    <s v="CSKU07748_2ES"/>
    <x v="2"/>
    <x v="1"/>
    <x v="0"/>
    <x v="4"/>
    <x v="1"/>
    <x v="7"/>
    <x v="585"/>
    <x v="0"/>
    <x v="9"/>
    <x v="0"/>
    <n v="76040"/>
  </r>
  <r>
    <s v="CSKU07394_2ES"/>
    <x v="2"/>
    <x v="1"/>
    <x v="1"/>
    <x v="0"/>
    <x v="1"/>
    <x v="7"/>
    <x v="586"/>
    <x v="1"/>
    <x v="9"/>
    <x v="0"/>
    <n v="84460"/>
  </r>
  <r>
    <s v="CSKU07395_2ES"/>
    <x v="2"/>
    <x v="1"/>
    <x v="1"/>
    <x v="7"/>
    <x v="4"/>
    <x v="7"/>
    <x v="586"/>
    <x v="1"/>
    <x v="9"/>
    <x v="0"/>
    <n v="76360"/>
  </r>
  <r>
    <s v="CSKU07396_2ES"/>
    <x v="2"/>
    <x v="1"/>
    <x v="1"/>
    <x v="7"/>
    <x v="1"/>
    <x v="7"/>
    <x v="586"/>
    <x v="1"/>
    <x v="9"/>
    <x v="0"/>
    <n v="88440"/>
  </r>
  <r>
    <s v="CSKU07749_2ES"/>
    <x v="2"/>
    <x v="1"/>
    <x v="0"/>
    <x v="0"/>
    <x v="1"/>
    <x v="7"/>
    <x v="585"/>
    <x v="0"/>
    <x v="9"/>
    <x v="0"/>
    <n v="79570"/>
  </r>
  <r>
    <s v="CSKU07529_2ES"/>
    <x v="2"/>
    <x v="1"/>
    <x v="0"/>
    <x v="4"/>
    <x v="4"/>
    <x v="7"/>
    <x v="587"/>
    <x v="0"/>
    <x v="9"/>
    <x v="0"/>
    <n v="53860"/>
  </r>
  <r>
    <s v="CSKU07530_2ES"/>
    <x v="2"/>
    <x v="1"/>
    <x v="0"/>
    <x v="0"/>
    <x v="4"/>
    <x v="7"/>
    <x v="587"/>
    <x v="0"/>
    <x v="9"/>
    <x v="0"/>
    <n v="57390"/>
  </r>
  <r>
    <s v="CSKU07531_2ES"/>
    <x v="2"/>
    <x v="1"/>
    <x v="0"/>
    <x v="7"/>
    <x v="4"/>
    <x v="7"/>
    <x v="587"/>
    <x v="0"/>
    <x v="9"/>
    <x v="0"/>
    <n v="60960"/>
  </r>
  <r>
    <s v="CSKU07532_2ES"/>
    <x v="2"/>
    <x v="1"/>
    <x v="0"/>
    <x v="4"/>
    <x v="1"/>
    <x v="7"/>
    <x v="587"/>
    <x v="0"/>
    <x v="9"/>
    <x v="0"/>
    <n v="62440"/>
  </r>
  <r>
    <s v="CSKU07533_2ES"/>
    <x v="2"/>
    <x v="1"/>
    <x v="0"/>
    <x v="0"/>
    <x v="1"/>
    <x v="7"/>
    <x v="587"/>
    <x v="0"/>
    <x v="9"/>
    <x v="0"/>
    <n v="65970"/>
  </r>
  <r>
    <s v="CSKU07534_2ES"/>
    <x v="2"/>
    <x v="1"/>
    <x v="0"/>
    <x v="7"/>
    <x v="1"/>
    <x v="7"/>
    <x v="587"/>
    <x v="0"/>
    <x v="9"/>
    <x v="0"/>
    <n v="69520"/>
  </r>
  <r>
    <s v="CSKU07535_2ES"/>
    <x v="2"/>
    <x v="1"/>
    <x v="1"/>
    <x v="4"/>
    <x v="4"/>
    <x v="7"/>
    <x v="587"/>
    <x v="1"/>
    <x v="9"/>
    <x v="0"/>
    <n v="57480"/>
  </r>
  <r>
    <s v="CSKU07536_2ES"/>
    <x v="2"/>
    <x v="1"/>
    <x v="1"/>
    <x v="4"/>
    <x v="1"/>
    <x v="7"/>
    <x v="587"/>
    <x v="1"/>
    <x v="9"/>
    <x v="0"/>
    <n v="66900"/>
  </r>
  <r>
    <s v="CSKU07537_2ES"/>
    <x v="2"/>
    <x v="1"/>
    <x v="1"/>
    <x v="0"/>
    <x v="4"/>
    <x v="7"/>
    <x v="587"/>
    <x v="1"/>
    <x v="9"/>
    <x v="0"/>
    <n v="61440"/>
  </r>
  <r>
    <s v="CSKU07349_2ES"/>
    <x v="2"/>
    <x v="1"/>
    <x v="0"/>
    <x v="4"/>
    <x v="4"/>
    <x v="7"/>
    <x v="588"/>
    <x v="0"/>
    <x v="9"/>
    <x v="0"/>
    <n v="56200"/>
  </r>
  <r>
    <s v="CSKU07350_2ES"/>
    <x v="2"/>
    <x v="1"/>
    <x v="0"/>
    <x v="0"/>
    <x v="4"/>
    <x v="7"/>
    <x v="588"/>
    <x v="0"/>
    <x v="9"/>
    <x v="0"/>
    <n v="59730"/>
  </r>
  <r>
    <s v="CSKU07351_2ES"/>
    <x v="2"/>
    <x v="1"/>
    <x v="0"/>
    <x v="7"/>
    <x v="4"/>
    <x v="7"/>
    <x v="588"/>
    <x v="0"/>
    <x v="9"/>
    <x v="0"/>
    <n v="63300"/>
  </r>
  <r>
    <s v="CSKU07352_2ES"/>
    <x v="2"/>
    <x v="1"/>
    <x v="0"/>
    <x v="4"/>
    <x v="1"/>
    <x v="7"/>
    <x v="588"/>
    <x v="0"/>
    <x v="9"/>
    <x v="0"/>
    <n v="65060"/>
  </r>
  <r>
    <s v="CSKU07353_2ES"/>
    <x v="2"/>
    <x v="1"/>
    <x v="0"/>
    <x v="0"/>
    <x v="1"/>
    <x v="7"/>
    <x v="588"/>
    <x v="0"/>
    <x v="9"/>
    <x v="0"/>
    <n v="68590"/>
  </r>
  <r>
    <s v="CSKU07354_2ES"/>
    <x v="2"/>
    <x v="1"/>
    <x v="0"/>
    <x v="7"/>
    <x v="1"/>
    <x v="7"/>
    <x v="588"/>
    <x v="0"/>
    <x v="9"/>
    <x v="0"/>
    <n v="72140"/>
  </r>
  <r>
    <s v="CSKU07355_2ES"/>
    <x v="2"/>
    <x v="1"/>
    <x v="1"/>
    <x v="4"/>
    <x v="4"/>
    <x v="7"/>
    <x v="588"/>
    <x v="1"/>
    <x v="9"/>
    <x v="0"/>
    <n v="59820"/>
  </r>
  <r>
    <s v="CSKU07356_2ES"/>
    <x v="2"/>
    <x v="1"/>
    <x v="1"/>
    <x v="4"/>
    <x v="1"/>
    <x v="7"/>
    <x v="588"/>
    <x v="1"/>
    <x v="9"/>
    <x v="0"/>
    <n v="69520"/>
  </r>
  <r>
    <s v="CSKU07357_2ES"/>
    <x v="2"/>
    <x v="1"/>
    <x v="1"/>
    <x v="0"/>
    <x v="4"/>
    <x v="7"/>
    <x v="588"/>
    <x v="1"/>
    <x v="9"/>
    <x v="0"/>
    <n v="63780"/>
  </r>
  <r>
    <s v="CSKU07637_2ES"/>
    <x v="2"/>
    <x v="1"/>
    <x v="0"/>
    <x v="4"/>
    <x v="4"/>
    <x v="7"/>
    <x v="589"/>
    <x v="0"/>
    <x v="9"/>
    <x v="0"/>
    <n v="62460"/>
  </r>
  <r>
    <s v="CSKU07638_2ES"/>
    <x v="2"/>
    <x v="1"/>
    <x v="0"/>
    <x v="0"/>
    <x v="4"/>
    <x v="7"/>
    <x v="589"/>
    <x v="0"/>
    <x v="9"/>
    <x v="0"/>
    <n v="65990"/>
  </r>
  <r>
    <s v="CSKU07639_2ES"/>
    <x v="2"/>
    <x v="1"/>
    <x v="0"/>
    <x v="7"/>
    <x v="4"/>
    <x v="7"/>
    <x v="589"/>
    <x v="0"/>
    <x v="9"/>
    <x v="0"/>
    <n v="69560"/>
  </r>
  <r>
    <s v="CSKU07640_2ES"/>
    <x v="2"/>
    <x v="1"/>
    <x v="0"/>
    <x v="4"/>
    <x v="1"/>
    <x v="7"/>
    <x v="589"/>
    <x v="0"/>
    <x v="9"/>
    <x v="0"/>
    <n v="73420"/>
  </r>
  <r>
    <s v="CSKU07641_2ES"/>
    <x v="2"/>
    <x v="1"/>
    <x v="0"/>
    <x v="0"/>
    <x v="1"/>
    <x v="7"/>
    <x v="589"/>
    <x v="0"/>
    <x v="9"/>
    <x v="0"/>
    <n v="76950"/>
  </r>
  <r>
    <s v="CSKU07642_2ES"/>
    <x v="2"/>
    <x v="1"/>
    <x v="0"/>
    <x v="7"/>
    <x v="1"/>
    <x v="7"/>
    <x v="589"/>
    <x v="0"/>
    <x v="9"/>
    <x v="0"/>
    <n v="80500"/>
  </r>
  <r>
    <s v="CSKU07643_2ES"/>
    <x v="2"/>
    <x v="1"/>
    <x v="1"/>
    <x v="4"/>
    <x v="4"/>
    <x v="7"/>
    <x v="589"/>
    <x v="1"/>
    <x v="9"/>
    <x v="0"/>
    <n v="66080"/>
  </r>
  <r>
    <s v="CSKU07644_2ES"/>
    <x v="2"/>
    <x v="1"/>
    <x v="1"/>
    <x v="4"/>
    <x v="1"/>
    <x v="7"/>
    <x v="589"/>
    <x v="1"/>
    <x v="9"/>
    <x v="0"/>
    <n v="77880"/>
  </r>
  <r>
    <s v="CSKU07538_2ES"/>
    <x v="2"/>
    <x v="1"/>
    <x v="1"/>
    <x v="0"/>
    <x v="1"/>
    <x v="7"/>
    <x v="587"/>
    <x v="1"/>
    <x v="9"/>
    <x v="0"/>
    <n v="70860"/>
  </r>
  <r>
    <s v="CSKU07645_2ES"/>
    <x v="2"/>
    <x v="1"/>
    <x v="1"/>
    <x v="0"/>
    <x v="4"/>
    <x v="7"/>
    <x v="589"/>
    <x v="1"/>
    <x v="9"/>
    <x v="0"/>
    <n v="70040"/>
  </r>
  <r>
    <s v="CSKU07750_2ES"/>
    <x v="2"/>
    <x v="1"/>
    <x v="0"/>
    <x v="7"/>
    <x v="1"/>
    <x v="7"/>
    <x v="585"/>
    <x v="0"/>
    <x v="9"/>
    <x v="0"/>
    <n v="83120"/>
  </r>
  <r>
    <s v="CSKU07751_2ES"/>
    <x v="2"/>
    <x v="1"/>
    <x v="1"/>
    <x v="4"/>
    <x v="4"/>
    <x v="7"/>
    <x v="585"/>
    <x v="1"/>
    <x v="9"/>
    <x v="0"/>
    <n v="68420"/>
  </r>
  <r>
    <s v="CSKU07752_2ES"/>
    <x v="2"/>
    <x v="1"/>
    <x v="1"/>
    <x v="4"/>
    <x v="1"/>
    <x v="7"/>
    <x v="585"/>
    <x v="1"/>
    <x v="9"/>
    <x v="0"/>
    <n v="80500"/>
  </r>
  <r>
    <s v="CSKU07753_2ES"/>
    <x v="2"/>
    <x v="1"/>
    <x v="1"/>
    <x v="0"/>
    <x v="4"/>
    <x v="7"/>
    <x v="585"/>
    <x v="1"/>
    <x v="9"/>
    <x v="0"/>
    <n v="72380"/>
  </r>
  <r>
    <s v="CSKU07754_2ES"/>
    <x v="2"/>
    <x v="1"/>
    <x v="1"/>
    <x v="0"/>
    <x v="1"/>
    <x v="7"/>
    <x v="585"/>
    <x v="1"/>
    <x v="9"/>
    <x v="0"/>
    <n v="84460"/>
  </r>
  <r>
    <s v="CSKU07539_2ES"/>
    <x v="2"/>
    <x v="1"/>
    <x v="1"/>
    <x v="7"/>
    <x v="4"/>
    <x v="7"/>
    <x v="587"/>
    <x v="1"/>
    <x v="9"/>
    <x v="0"/>
    <n v="65420"/>
  </r>
  <r>
    <s v="CSKU07540_2ES"/>
    <x v="2"/>
    <x v="1"/>
    <x v="1"/>
    <x v="7"/>
    <x v="1"/>
    <x v="7"/>
    <x v="587"/>
    <x v="1"/>
    <x v="9"/>
    <x v="0"/>
    <n v="74840"/>
  </r>
  <r>
    <s v="CSKU07646_2ES"/>
    <x v="2"/>
    <x v="1"/>
    <x v="1"/>
    <x v="0"/>
    <x v="1"/>
    <x v="7"/>
    <x v="589"/>
    <x v="1"/>
    <x v="9"/>
    <x v="0"/>
    <n v="81840"/>
  </r>
  <r>
    <s v="CSKU07647_2ES"/>
    <x v="2"/>
    <x v="1"/>
    <x v="1"/>
    <x v="7"/>
    <x v="4"/>
    <x v="7"/>
    <x v="589"/>
    <x v="1"/>
    <x v="9"/>
    <x v="0"/>
    <n v="74020"/>
  </r>
  <r>
    <s v="CSKU07648_2ES"/>
    <x v="2"/>
    <x v="1"/>
    <x v="1"/>
    <x v="7"/>
    <x v="1"/>
    <x v="7"/>
    <x v="589"/>
    <x v="1"/>
    <x v="9"/>
    <x v="0"/>
    <n v="85820"/>
  </r>
  <r>
    <s v="CSKU07277_2ES"/>
    <x v="2"/>
    <x v="1"/>
    <x v="0"/>
    <x v="4"/>
    <x v="4"/>
    <x v="7"/>
    <x v="590"/>
    <x v="0"/>
    <x v="9"/>
    <x v="0"/>
    <n v="64800"/>
  </r>
  <r>
    <s v="CSKU07358_2ES"/>
    <x v="2"/>
    <x v="1"/>
    <x v="1"/>
    <x v="0"/>
    <x v="1"/>
    <x v="7"/>
    <x v="588"/>
    <x v="1"/>
    <x v="9"/>
    <x v="0"/>
    <n v="73480"/>
  </r>
  <r>
    <s v="CSKU07755_2ES"/>
    <x v="2"/>
    <x v="1"/>
    <x v="1"/>
    <x v="7"/>
    <x v="4"/>
    <x v="7"/>
    <x v="585"/>
    <x v="1"/>
    <x v="9"/>
    <x v="0"/>
    <n v="76360"/>
  </r>
  <r>
    <s v="CSKU07756_2ES"/>
    <x v="2"/>
    <x v="1"/>
    <x v="1"/>
    <x v="7"/>
    <x v="1"/>
    <x v="7"/>
    <x v="585"/>
    <x v="1"/>
    <x v="9"/>
    <x v="0"/>
    <n v="88440"/>
  </r>
  <r>
    <s v="CSKU07278_2ES"/>
    <x v="2"/>
    <x v="1"/>
    <x v="0"/>
    <x v="0"/>
    <x v="4"/>
    <x v="7"/>
    <x v="590"/>
    <x v="0"/>
    <x v="9"/>
    <x v="0"/>
    <n v="68330"/>
  </r>
  <r>
    <s v="CSKU07279_2ES"/>
    <x v="2"/>
    <x v="1"/>
    <x v="0"/>
    <x v="7"/>
    <x v="4"/>
    <x v="7"/>
    <x v="590"/>
    <x v="0"/>
    <x v="9"/>
    <x v="0"/>
    <n v="71900"/>
  </r>
  <r>
    <s v="CSKU07280_2ES"/>
    <x v="2"/>
    <x v="1"/>
    <x v="0"/>
    <x v="4"/>
    <x v="1"/>
    <x v="7"/>
    <x v="590"/>
    <x v="0"/>
    <x v="9"/>
    <x v="0"/>
    <n v="76040"/>
  </r>
  <r>
    <s v="CSKU07281_2ES"/>
    <x v="2"/>
    <x v="1"/>
    <x v="0"/>
    <x v="0"/>
    <x v="1"/>
    <x v="7"/>
    <x v="590"/>
    <x v="0"/>
    <x v="9"/>
    <x v="0"/>
    <n v="79570"/>
  </r>
  <r>
    <s v="CSKU07282_2ES"/>
    <x v="2"/>
    <x v="1"/>
    <x v="0"/>
    <x v="7"/>
    <x v="1"/>
    <x v="7"/>
    <x v="590"/>
    <x v="0"/>
    <x v="9"/>
    <x v="0"/>
    <n v="83120"/>
  </r>
  <r>
    <s v="CSKU07283_2ES"/>
    <x v="2"/>
    <x v="1"/>
    <x v="1"/>
    <x v="4"/>
    <x v="4"/>
    <x v="7"/>
    <x v="590"/>
    <x v="1"/>
    <x v="9"/>
    <x v="0"/>
    <n v="68420"/>
  </r>
  <r>
    <s v="CSKU07284_2ES"/>
    <x v="2"/>
    <x v="1"/>
    <x v="1"/>
    <x v="4"/>
    <x v="1"/>
    <x v="7"/>
    <x v="590"/>
    <x v="1"/>
    <x v="9"/>
    <x v="0"/>
    <n v="80500"/>
  </r>
  <r>
    <s v="CSKU07285_2ES"/>
    <x v="2"/>
    <x v="1"/>
    <x v="1"/>
    <x v="0"/>
    <x v="4"/>
    <x v="7"/>
    <x v="590"/>
    <x v="1"/>
    <x v="9"/>
    <x v="0"/>
    <n v="72380"/>
  </r>
  <r>
    <s v="CSKU07286_2ES"/>
    <x v="2"/>
    <x v="1"/>
    <x v="1"/>
    <x v="0"/>
    <x v="1"/>
    <x v="7"/>
    <x v="590"/>
    <x v="1"/>
    <x v="9"/>
    <x v="0"/>
    <n v="84460"/>
  </r>
  <r>
    <s v="CSKU07287_2ES"/>
    <x v="2"/>
    <x v="1"/>
    <x v="1"/>
    <x v="7"/>
    <x v="4"/>
    <x v="7"/>
    <x v="590"/>
    <x v="1"/>
    <x v="9"/>
    <x v="0"/>
    <n v="76360"/>
  </r>
  <r>
    <s v="CSKU07288_2ES"/>
    <x v="2"/>
    <x v="1"/>
    <x v="1"/>
    <x v="7"/>
    <x v="1"/>
    <x v="7"/>
    <x v="590"/>
    <x v="1"/>
    <x v="9"/>
    <x v="0"/>
    <n v="88440"/>
  </r>
  <r>
    <s v="CSKU07359_2ES"/>
    <x v="2"/>
    <x v="1"/>
    <x v="1"/>
    <x v="7"/>
    <x v="4"/>
    <x v="7"/>
    <x v="588"/>
    <x v="1"/>
    <x v="9"/>
    <x v="0"/>
    <n v="67760"/>
  </r>
  <r>
    <s v="CSKU07360_2ES"/>
    <x v="2"/>
    <x v="1"/>
    <x v="1"/>
    <x v="7"/>
    <x v="1"/>
    <x v="7"/>
    <x v="588"/>
    <x v="1"/>
    <x v="9"/>
    <x v="0"/>
    <n v="77460"/>
  </r>
  <r>
    <s v="CSKU07457_2ES"/>
    <x v="2"/>
    <x v="1"/>
    <x v="0"/>
    <x v="4"/>
    <x v="4"/>
    <x v="7"/>
    <x v="591"/>
    <x v="0"/>
    <x v="9"/>
    <x v="0"/>
    <n v="73400"/>
  </r>
  <r>
    <s v="CSKU07458_2ES"/>
    <x v="2"/>
    <x v="1"/>
    <x v="0"/>
    <x v="0"/>
    <x v="4"/>
    <x v="7"/>
    <x v="591"/>
    <x v="0"/>
    <x v="9"/>
    <x v="0"/>
    <n v="76930"/>
  </r>
  <r>
    <s v="CSKU07459_2ES"/>
    <x v="2"/>
    <x v="1"/>
    <x v="0"/>
    <x v="7"/>
    <x v="4"/>
    <x v="7"/>
    <x v="591"/>
    <x v="0"/>
    <x v="9"/>
    <x v="0"/>
    <n v="80500"/>
  </r>
  <r>
    <s v="CSKU07460_2ES"/>
    <x v="2"/>
    <x v="1"/>
    <x v="0"/>
    <x v="4"/>
    <x v="1"/>
    <x v="7"/>
    <x v="591"/>
    <x v="0"/>
    <x v="9"/>
    <x v="0"/>
    <n v="87020"/>
  </r>
  <r>
    <s v="CSKU07461_2ES"/>
    <x v="2"/>
    <x v="1"/>
    <x v="0"/>
    <x v="0"/>
    <x v="1"/>
    <x v="7"/>
    <x v="591"/>
    <x v="0"/>
    <x v="9"/>
    <x v="0"/>
    <n v="90550"/>
  </r>
  <r>
    <s v="CSKU07462_2ES"/>
    <x v="2"/>
    <x v="1"/>
    <x v="0"/>
    <x v="7"/>
    <x v="1"/>
    <x v="7"/>
    <x v="591"/>
    <x v="0"/>
    <x v="9"/>
    <x v="0"/>
    <n v="94100"/>
  </r>
  <r>
    <s v="CSKU07463_2ES"/>
    <x v="2"/>
    <x v="1"/>
    <x v="1"/>
    <x v="4"/>
    <x v="4"/>
    <x v="7"/>
    <x v="591"/>
    <x v="1"/>
    <x v="9"/>
    <x v="0"/>
    <n v="77020"/>
  </r>
  <r>
    <s v="CSKU07464_2ES"/>
    <x v="2"/>
    <x v="1"/>
    <x v="1"/>
    <x v="4"/>
    <x v="1"/>
    <x v="7"/>
    <x v="591"/>
    <x v="1"/>
    <x v="9"/>
    <x v="0"/>
    <n v="91480"/>
  </r>
  <r>
    <s v="CSKU07465_2ES"/>
    <x v="2"/>
    <x v="1"/>
    <x v="1"/>
    <x v="0"/>
    <x v="4"/>
    <x v="7"/>
    <x v="591"/>
    <x v="1"/>
    <x v="9"/>
    <x v="0"/>
    <n v="80980"/>
  </r>
  <r>
    <s v="CSKU07466_2ES"/>
    <x v="2"/>
    <x v="1"/>
    <x v="1"/>
    <x v="0"/>
    <x v="1"/>
    <x v="7"/>
    <x v="591"/>
    <x v="1"/>
    <x v="9"/>
    <x v="0"/>
    <n v="95440"/>
  </r>
  <r>
    <s v="CSKU07467_2ES"/>
    <x v="2"/>
    <x v="1"/>
    <x v="1"/>
    <x v="7"/>
    <x v="4"/>
    <x v="7"/>
    <x v="591"/>
    <x v="1"/>
    <x v="9"/>
    <x v="0"/>
    <n v="84960"/>
  </r>
  <r>
    <s v="CSKU07468_2ES"/>
    <x v="2"/>
    <x v="1"/>
    <x v="1"/>
    <x v="7"/>
    <x v="1"/>
    <x v="7"/>
    <x v="591"/>
    <x v="1"/>
    <x v="9"/>
    <x v="0"/>
    <n v="99420"/>
  </r>
  <r>
    <s v="CSKU06994_2ES"/>
    <x v="2"/>
    <x v="1"/>
    <x v="0"/>
    <x v="7"/>
    <x v="1"/>
    <x v="7"/>
    <x v="558"/>
    <x v="0"/>
    <x v="9"/>
    <x v="0"/>
    <n v="83120"/>
  </r>
  <r>
    <s v="CSKU06995_2ES"/>
    <x v="2"/>
    <x v="1"/>
    <x v="1"/>
    <x v="4"/>
    <x v="4"/>
    <x v="7"/>
    <x v="558"/>
    <x v="1"/>
    <x v="9"/>
    <x v="0"/>
    <n v="68420"/>
  </r>
  <r>
    <s v="CSKU06996_2ES"/>
    <x v="2"/>
    <x v="1"/>
    <x v="1"/>
    <x v="4"/>
    <x v="1"/>
    <x v="7"/>
    <x v="558"/>
    <x v="1"/>
    <x v="9"/>
    <x v="0"/>
    <n v="80500"/>
  </r>
  <r>
    <s v="CSKU06997_2ES"/>
    <x v="2"/>
    <x v="1"/>
    <x v="1"/>
    <x v="0"/>
    <x v="4"/>
    <x v="7"/>
    <x v="558"/>
    <x v="1"/>
    <x v="9"/>
    <x v="0"/>
    <n v="72380"/>
  </r>
  <r>
    <s v="CSKU06998_2ES"/>
    <x v="2"/>
    <x v="1"/>
    <x v="1"/>
    <x v="0"/>
    <x v="1"/>
    <x v="7"/>
    <x v="558"/>
    <x v="1"/>
    <x v="9"/>
    <x v="0"/>
    <n v="84460"/>
  </r>
  <r>
    <s v="CSKU06999_2ES"/>
    <x v="2"/>
    <x v="1"/>
    <x v="1"/>
    <x v="7"/>
    <x v="4"/>
    <x v="7"/>
    <x v="558"/>
    <x v="1"/>
    <x v="9"/>
    <x v="0"/>
    <n v="76360"/>
  </r>
  <r>
    <s v="CSKU07000_2ES"/>
    <x v="2"/>
    <x v="1"/>
    <x v="1"/>
    <x v="7"/>
    <x v="1"/>
    <x v="7"/>
    <x v="558"/>
    <x v="1"/>
    <x v="9"/>
    <x v="0"/>
    <n v="88440"/>
  </r>
  <r>
    <s v="CSKU07061_2ES"/>
    <x v="2"/>
    <x v="1"/>
    <x v="0"/>
    <x v="4"/>
    <x v="4"/>
    <x v="7"/>
    <x v="592"/>
    <x v="0"/>
    <x v="9"/>
    <x v="0"/>
    <n v="57140"/>
  </r>
  <r>
    <s v="CSKU07062_2ES"/>
    <x v="2"/>
    <x v="1"/>
    <x v="0"/>
    <x v="0"/>
    <x v="4"/>
    <x v="7"/>
    <x v="592"/>
    <x v="0"/>
    <x v="9"/>
    <x v="0"/>
    <n v="60670"/>
  </r>
  <r>
    <s v="CSKU07063_2ES"/>
    <x v="2"/>
    <x v="1"/>
    <x v="0"/>
    <x v="7"/>
    <x v="4"/>
    <x v="7"/>
    <x v="592"/>
    <x v="0"/>
    <x v="9"/>
    <x v="0"/>
    <n v="64240"/>
  </r>
  <r>
    <s v="CSKU07064_2ES"/>
    <x v="2"/>
    <x v="1"/>
    <x v="0"/>
    <x v="4"/>
    <x v="1"/>
    <x v="7"/>
    <x v="592"/>
    <x v="0"/>
    <x v="9"/>
    <x v="0"/>
    <n v="67500"/>
  </r>
  <r>
    <s v="CSKU07133_2ES"/>
    <x v="2"/>
    <x v="1"/>
    <x v="0"/>
    <x v="4"/>
    <x v="4"/>
    <x v="7"/>
    <x v="593"/>
    <x v="0"/>
    <x v="9"/>
    <x v="0"/>
    <n v="73400"/>
  </r>
  <r>
    <s v="CSKU07134_2ES"/>
    <x v="2"/>
    <x v="1"/>
    <x v="0"/>
    <x v="0"/>
    <x v="4"/>
    <x v="7"/>
    <x v="593"/>
    <x v="0"/>
    <x v="9"/>
    <x v="0"/>
    <n v="76930"/>
  </r>
  <r>
    <s v="CSKU07135_2ES"/>
    <x v="2"/>
    <x v="1"/>
    <x v="0"/>
    <x v="7"/>
    <x v="4"/>
    <x v="7"/>
    <x v="593"/>
    <x v="0"/>
    <x v="9"/>
    <x v="0"/>
    <n v="80500"/>
  </r>
  <r>
    <s v="CSKU07136_2ES"/>
    <x v="2"/>
    <x v="1"/>
    <x v="0"/>
    <x v="4"/>
    <x v="1"/>
    <x v="7"/>
    <x v="593"/>
    <x v="0"/>
    <x v="9"/>
    <x v="0"/>
    <n v="87020"/>
  </r>
  <r>
    <s v="CSKU07137_2ES"/>
    <x v="2"/>
    <x v="1"/>
    <x v="0"/>
    <x v="0"/>
    <x v="1"/>
    <x v="7"/>
    <x v="593"/>
    <x v="0"/>
    <x v="9"/>
    <x v="0"/>
    <n v="90550"/>
  </r>
  <r>
    <s v="CSKU07138_2ES"/>
    <x v="2"/>
    <x v="1"/>
    <x v="0"/>
    <x v="7"/>
    <x v="1"/>
    <x v="7"/>
    <x v="593"/>
    <x v="0"/>
    <x v="9"/>
    <x v="0"/>
    <n v="94100"/>
  </r>
  <r>
    <s v="CSKU07139_2ES"/>
    <x v="2"/>
    <x v="1"/>
    <x v="1"/>
    <x v="4"/>
    <x v="4"/>
    <x v="7"/>
    <x v="593"/>
    <x v="1"/>
    <x v="9"/>
    <x v="0"/>
    <n v="77020"/>
  </r>
  <r>
    <s v="CSKU07140_2ES"/>
    <x v="2"/>
    <x v="1"/>
    <x v="1"/>
    <x v="4"/>
    <x v="1"/>
    <x v="7"/>
    <x v="593"/>
    <x v="1"/>
    <x v="9"/>
    <x v="0"/>
    <n v="91480"/>
  </r>
  <r>
    <s v="CSKU07141_2ES"/>
    <x v="2"/>
    <x v="1"/>
    <x v="1"/>
    <x v="0"/>
    <x v="4"/>
    <x v="7"/>
    <x v="593"/>
    <x v="1"/>
    <x v="9"/>
    <x v="0"/>
    <n v="80980"/>
  </r>
  <r>
    <s v="CSKU07205_2ES"/>
    <x v="2"/>
    <x v="1"/>
    <x v="0"/>
    <x v="4"/>
    <x v="4"/>
    <x v="7"/>
    <x v="594"/>
    <x v="0"/>
    <x v="9"/>
    <x v="0"/>
    <n v="64800"/>
  </r>
  <r>
    <s v="CSKU07206_2ES"/>
    <x v="2"/>
    <x v="1"/>
    <x v="0"/>
    <x v="0"/>
    <x v="4"/>
    <x v="7"/>
    <x v="594"/>
    <x v="0"/>
    <x v="9"/>
    <x v="0"/>
    <n v="68330"/>
  </r>
  <r>
    <s v="CSKU07207_2ES"/>
    <x v="2"/>
    <x v="1"/>
    <x v="0"/>
    <x v="7"/>
    <x v="4"/>
    <x v="7"/>
    <x v="594"/>
    <x v="0"/>
    <x v="9"/>
    <x v="0"/>
    <n v="71900"/>
  </r>
  <r>
    <s v="CSKU07208_2ES"/>
    <x v="2"/>
    <x v="1"/>
    <x v="0"/>
    <x v="4"/>
    <x v="1"/>
    <x v="7"/>
    <x v="594"/>
    <x v="0"/>
    <x v="9"/>
    <x v="0"/>
    <n v="76040"/>
  </r>
  <r>
    <s v="CSKU07209_2ES"/>
    <x v="2"/>
    <x v="1"/>
    <x v="0"/>
    <x v="0"/>
    <x v="1"/>
    <x v="7"/>
    <x v="594"/>
    <x v="0"/>
    <x v="9"/>
    <x v="0"/>
    <n v="79570"/>
  </r>
  <r>
    <s v="CSKU07385_2ES"/>
    <x v="2"/>
    <x v="1"/>
    <x v="0"/>
    <x v="4"/>
    <x v="4"/>
    <x v="7"/>
    <x v="586"/>
    <x v="0"/>
    <x v="9"/>
    <x v="0"/>
    <n v="64800"/>
  </r>
  <r>
    <s v="CSKU07386_2ES"/>
    <x v="2"/>
    <x v="1"/>
    <x v="0"/>
    <x v="0"/>
    <x v="4"/>
    <x v="7"/>
    <x v="586"/>
    <x v="0"/>
    <x v="9"/>
    <x v="0"/>
    <n v="68330"/>
  </r>
  <r>
    <s v="CSKU07387_2ES"/>
    <x v="2"/>
    <x v="1"/>
    <x v="0"/>
    <x v="7"/>
    <x v="4"/>
    <x v="7"/>
    <x v="586"/>
    <x v="0"/>
    <x v="9"/>
    <x v="0"/>
    <n v="71900"/>
  </r>
  <r>
    <s v="CSKU07388_2ES"/>
    <x v="2"/>
    <x v="1"/>
    <x v="0"/>
    <x v="4"/>
    <x v="1"/>
    <x v="7"/>
    <x v="586"/>
    <x v="0"/>
    <x v="9"/>
    <x v="0"/>
    <n v="76040"/>
  </r>
  <r>
    <s v="CSKU07389_2ES"/>
    <x v="2"/>
    <x v="1"/>
    <x v="0"/>
    <x v="0"/>
    <x v="1"/>
    <x v="7"/>
    <x v="586"/>
    <x v="0"/>
    <x v="9"/>
    <x v="0"/>
    <n v="79570"/>
  </r>
  <r>
    <s v="CSKU07390_2ES"/>
    <x v="2"/>
    <x v="1"/>
    <x v="0"/>
    <x v="7"/>
    <x v="1"/>
    <x v="7"/>
    <x v="586"/>
    <x v="0"/>
    <x v="9"/>
    <x v="0"/>
    <n v="83120"/>
  </r>
  <r>
    <s v="CSKU07391_2ES"/>
    <x v="2"/>
    <x v="1"/>
    <x v="1"/>
    <x v="4"/>
    <x v="4"/>
    <x v="7"/>
    <x v="586"/>
    <x v="1"/>
    <x v="9"/>
    <x v="0"/>
    <n v="68420"/>
  </r>
  <r>
    <s v="CSKU07392_2ES"/>
    <x v="2"/>
    <x v="1"/>
    <x v="1"/>
    <x v="4"/>
    <x v="1"/>
    <x v="7"/>
    <x v="586"/>
    <x v="1"/>
    <x v="9"/>
    <x v="0"/>
    <n v="80500"/>
  </r>
  <r>
    <s v="CSKU07393_2ES"/>
    <x v="2"/>
    <x v="1"/>
    <x v="1"/>
    <x v="0"/>
    <x v="4"/>
    <x v="7"/>
    <x v="586"/>
    <x v="1"/>
    <x v="9"/>
    <x v="0"/>
    <n v="72380"/>
  </r>
  <r>
    <s v="CSKU06962_2ES"/>
    <x v="2"/>
    <x v="1"/>
    <x v="1"/>
    <x v="0"/>
    <x v="1"/>
    <x v="7"/>
    <x v="595"/>
    <x v="1"/>
    <x v="9"/>
    <x v="0"/>
    <n v="84460"/>
  </r>
  <r>
    <s v="CSKU06963_2ES"/>
    <x v="2"/>
    <x v="1"/>
    <x v="1"/>
    <x v="7"/>
    <x v="4"/>
    <x v="7"/>
    <x v="595"/>
    <x v="1"/>
    <x v="9"/>
    <x v="0"/>
    <n v="76360"/>
  </r>
  <r>
    <s v="CSKU06964_2ES"/>
    <x v="2"/>
    <x v="1"/>
    <x v="1"/>
    <x v="7"/>
    <x v="1"/>
    <x v="7"/>
    <x v="595"/>
    <x v="1"/>
    <x v="9"/>
    <x v="0"/>
    <n v="88440"/>
  </r>
  <r>
    <s v="CSKU07065_2ES"/>
    <x v="2"/>
    <x v="1"/>
    <x v="0"/>
    <x v="0"/>
    <x v="1"/>
    <x v="7"/>
    <x v="592"/>
    <x v="0"/>
    <x v="9"/>
    <x v="0"/>
    <n v="71030"/>
  </r>
  <r>
    <s v="CSKU07142_2ES"/>
    <x v="2"/>
    <x v="1"/>
    <x v="1"/>
    <x v="0"/>
    <x v="1"/>
    <x v="7"/>
    <x v="593"/>
    <x v="1"/>
    <x v="9"/>
    <x v="0"/>
    <n v="95440"/>
  </r>
  <r>
    <s v="CSKU07210_2ES"/>
    <x v="2"/>
    <x v="1"/>
    <x v="0"/>
    <x v="7"/>
    <x v="1"/>
    <x v="7"/>
    <x v="594"/>
    <x v="0"/>
    <x v="9"/>
    <x v="0"/>
    <n v="83120"/>
  </r>
  <r>
    <s v="CSKU07066_2ES"/>
    <x v="2"/>
    <x v="1"/>
    <x v="0"/>
    <x v="7"/>
    <x v="1"/>
    <x v="7"/>
    <x v="592"/>
    <x v="0"/>
    <x v="9"/>
    <x v="0"/>
    <n v="74580"/>
  </r>
  <r>
    <s v="CSKU07067_2ES"/>
    <x v="2"/>
    <x v="1"/>
    <x v="1"/>
    <x v="4"/>
    <x v="4"/>
    <x v="7"/>
    <x v="592"/>
    <x v="1"/>
    <x v="9"/>
    <x v="0"/>
    <n v="61400"/>
  </r>
  <r>
    <s v="CSKU07068_2ES"/>
    <x v="2"/>
    <x v="1"/>
    <x v="1"/>
    <x v="0"/>
    <x v="4"/>
    <x v="7"/>
    <x v="592"/>
    <x v="1"/>
    <x v="9"/>
    <x v="0"/>
    <n v="65360"/>
  </r>
  <r>
    <s v="CSKU07069_2ES"/>
    <x v="2"/>
    <x v="1"/>
    <x v="1"/>
    <x v="7"/>
    <x v="4"/>
    <x v="7"/>
    <x v="592"/>
    <x v="1"/>
    <x v="9"/>
    <x v="0"/>
    <n v="69340"/>
  </r>
  <r>
    <s v="CSKU07070_2ES"/>
    <x v="2"/>
    <x v="1"/>
    <x v="1"/>
    <x v="4"/>
    <x v="1"/>
    <x v="7"/>
    <x v="592"/>
    <x v="1"/>
    <x v="9"/>
    <x v="0"/>
    <n v="72600"/>
  </r>
  <r>
    <s v="CSKU07071_2ES"/>
    <x v="2"/>
    <x v="1"/>
    <x v="1"/>
    <x v="0"/>
    <x v="1"/>
    <x v="7"/>
    <x v="592"/>
    <x v="1"/>
    <x v="9"/>
    <x v="0"/>
    <n v="76560"/>
  </r>
  <r>
    <s v="CSKU07072_2ES"/>
    <x v="2"/>
    <x v="1"/>
    <x v="1"/>
    <x v="7"/>
    <x v="1"/>
    <x v="7"/>
    <x v="592"/>
    <x v="1"/>
    <x v="9"/>
    <x v="0"/>
    <n v="80540"/>
  </r>
  <r>
    <s v="CSKU07143_2ES"/>
    <x v="2"/>
    <x v="1"/>
    <x v="1"/>
    <x v="7"/>
    <x v="4"/>
    <x v="7"/>
    <x v="593"/>
    <x v="1"/>
    <x v="9"/>
    <x v="0"/>
    <n v="84960"/>
  </r>
  <r>
    <s v="CSKU07144_2ES"/>
    <x v="2"/>
    <x v="1"/>
    <x v="1"/>
    <x v="7"/>
    <x v="1"/>
    <x v="7"/>
    <x v="593"/>
    <x v="1"/>
    <x v="9"/>
    <x v="0"/>
    <n v="99420"/>
  </r>
  <r>
    <s v="CSKU07211_2ES"/>
    <x v="2"/>
    <x v="1"/>
    <x v="1"/>
    <x v="4"/>
    <x v="4"/>
    <x v="7"/>
    <x v="594"/>
    <x v="1"/>
    <x v="9"/>
    <x v="0"/>
    <n v="68420"/>
  </r>
  <r>
    <s v="CSKU07212_2ES"/>
    <x v="2"/>
    <x v="1"/>
    <x v="1"/>
    <x v="4"/>
    <x v="1"/>
    <x v="7"/>
    <x v="594"/>
    <x v="1"/>
    <x v="9"/>
    <x v="0"/>
    <n v="80500"/>
  </r>
  <r>
    <s v="CSKU07213_2ES"/>
    <x v="2"/>
    <x v="1"/>
    <x v="1"/>
    <x v="0"/>
    <x v="4"/>
    <x v="7"/>
    <x v="594"/>
    <x v="1"/>
    <x v="9"/>
    <x v="0"/>
    <n v="72380"/>
  </r>
  <r>
    <s v="CSKU07214_2ES"/>
    <x v="2"/>
    <x v="1"/>
    <x v="1"/>
    <x v="0"/>
    <x v="1"/>
    <x v="7"/>
    <x v="594"/>
    <x v="1"/>
    <x v="9"/>
    <x v="0"/>
    <n v="84460"/>
  </r>
  <r>
    <s v="CSKU07215_2ES"/>
    <x v="2"/>
    <x v="1"/>
    <x v="1"/>
    <x v="7"/>
    <x v="4"/>
    <x v="7"/>
    <x v="594"/>
    <x v="1"/>
    <x v="9"/>
    <x v="0"/>
    <n v="76360"/>
  </r>
  <r>
    <s v="CSKU07216_2ES"/>
    <x v="2"/>
    <x v="1"/>
    <x v="1"/>
    <x v="7"/>
    <x v="1"/>
    <x v="7"/>
    <x v="594"/>
    <x v="1"/>
    <x v="9"/>
    <x v="0"/>
    <n v="88440"/>
  </r>
  <r>
    <s v="CSKU07025_2ES"/>
    <x v="2"/>
    <x v="1"/>
    <x v="0"/>
    <x v="4"/>
    <x v="4"/>
    <x v="7"/>
    <x v="118"/>
    <x v="0"/>
    <x v="9"/>
    <x v="0"/>
    <n v="62460"/>
  </r>
  <r>
    <s v="CSKU07026_2ES"/>
    <x v="2"/>
    <x v="1"/>
    <x v="0"/>
    <x v="0"/>
    <x v="4"/>
    <x v="7"/>
    <x v="118"/>
    <x v="0"/>
    <x v="9"/>
    <x v="0"/>
    <n v="65990"/>
  </r>
  <r>
    <s v="CSKU07027_2ES"/>
    <x v="2"/>
    <x v="1"/>
    <x v="0"/>
    <x v="7"/>
    <x v="4"/>
    <x v="7"/>
    <x v="118"/>
    <x v="0"/>
    <x v="9"/>
    <x v="0"/>
    <n v="69560"/>
  </r>
  <r>
    <s v="CSKU06737_2ES"/>
    <x v="2"/>
    <x v="1"/>
    <x v="0"/>
    <x v="4"/>
    <x v="4"/>
    <x v="7"/>
    <x v="596"/>
    <x v="0"/>
    <x v="9"/>
    <x v="0"/>
    <n v="73400"/>
  </r>
  <r>
    <s v="CSKU06925_2ES"/>
    <x v="2"/>
    <x v="1"/>
    <x v="1"/>
    <x v="0"/>
    <x v="4"/>
    <x v="7"/>
    <x v="557"/>
    <x v="1"/>
    <x v="9"/>
    <x v="0"/>
    <n v="72380"/>
  </r>
  <r>
    <s v="CSKU06926_2ES"/>
    <x v="2"/>
    <x v="1"/>
    <x v="1"/>
    <x v="0"/>
    <x v="1"/>
    <x v="7"/>
    <x v="557"/>
    <x v="1"/>
    <x v="9"/>
    <x v="0"/>
    <n v="84460"/>
  </r>
  <r>
    <s v="CSKU06927_2ES"/>
    <x v="2"/>
    <x v="1"/>
    <x v="1"/>
    <x v="7"/>
    <x v="4"/>
    <x v="7"/>
    <x v="557"/>
    <x v="1"/>
    <x v="9"/>
    <x v="0"/>
    <n v="76360"/>
  </r>
  <r>
    <s v="CSKU06928_2ES"/>
    <x v="2"/>
    <x v="1"/>
    <x v="1"/>
    <x v="7"/>
    <x v="1"/>
    <x v="7"/>
    <x v="557"/>
    <x v="1"/>
    <x v="9"/>
    <x v="0"/>
    <n v="88440"/>
  </r>
  <r>
    <s v="CSKU06891_2ES"/>
    <x v="2"/>
    <x v="1"/>
    <x v="1"/>
    <x v="0"/>
    <x v="1"/>
    <x v="7"/>
    <x v="597"/>
    <x v="1"/>
    <x v="9"/>
    <x v="0"/>
    <n v="65580"/>
  </r>
  <r>
    <s v="CSKU06892_2ES"/>
    <x v="2"/>
    <x v="1"/>
    <x v="1"/>
    <x v="7"/>
    <x v="1"/>
    <x v="7"/>
    <x v="597"/>
    <x v="1"/>
    <x v="9"/>
    <x v="0"/>
    <n v="69560"/>
  </r>
  <r>
    <s v="CSKU06738_2ES"/>
    <x v="2"/>
    <x v="1"/>
    <x v="0"/>
    <x v="0"/>
    <x v="4"/>
    <x v="7"/>
    <x v="596"/>
    <x v="0"/>
    <x v="9"/>
    <x v="0"/>
    <n v="76930"/>
  </r>
  <r>
    <s v="CSKU06739_2ES"/>
    <x v="2"/>
    <x v="1"/>
    <x v="0"/>
    <x v="7"/>
    <x v="4"/>
    <x v="7"/>
    <x v="596"/>
    <x v="0"/>
    <x v="9"/>
    <x v="0"/>
    <n v="80500"/>
  </r>
  <r>
    <s v="CSKU06740_2ES"/>
    <x v="2"/>
    <x v="1"/>
    <x v="0"/>
    <x v="4"/>
    <x v="1"/>
    <x v="7"/>
    <x v="596"/>
    <x v="0"/>
    <x v="9"/>
    <x v="0"/>
    <n v="87020"/>
  </r>
  <r>
    <s v="CSKU06741_2ES"/>
    <x v="2"/>
    <x v="1"/>
    <x v="0"/>
    <x v="0"/>
    <x v="1"/>
    <x v="7"/>
    <x v="596"/>
    <x v="0"/>
    <x v="9"/>
    <x v="0"/>
    <n v="90550"/>
  </r>
  <r>
    <s v="CSKU06742_2ES"/>
    <x v="2"/>
    <x v="1"/>
    <x v="0"/>
    <x v="7"/>
    <x v="1"/>
    <x v="7"/>
    <x v="596"/>
    <x v="0"/>
    <x v="9"/>
    <x v="0"/>
    <n v="94100"/>
  </r>
  <r>
    <s v="CSKU06743_2ES"/>
    <x v="2"/>
    <x v="1"/>
    <x v="1"/>
    <x v="4"/>
    <x v="4"/>
    <x v="7"/>
    <x v="596"/>
    <x v="1"/>
    <x v="9"/>
    <x v="0"/>
    <n v="77020"/>
  </r>
  <r>
    <s v="CSKU06744_2ES"/>
    <x v="2"/>
    <x v="1"/>
    <x v="1"/>
    <x v="4"/>
    <x v="1"/>
    <x v="7"/>
    <x v="596"/>
    <x v="1"/>
    <x v="9"/>
    <x v="0"/>
    <n v="91480"/>
  </r>
  <r>
    <s v="CSKU06745_2ES"/>
    <x v="2"/>
    <x v="1"/>
    <x v="1"/>
    <x v="0"/>
    <x v="4"/>
    <x v="7"/>
    <x v="596"/>
    <x v="1"/>
    <x v="9"/>
    <x v="0"/>
    <n v="80980"/>
  </r>
  <r>
    <s v="CSKU06746_2ES"/>
    <x v="2"/>
    <x v="1"/>
    <x v="1"/>
    <x v="0"/>
    <x v="1"/>
    <x v="7"/>
    <x v="596"/>
    <x v="1"/>
    <x v="9"/>
    <x v="0"/>
    <n v="95440"/>
  </r>
  <r>
    <s v="CSKU06881_2ES"/>
    <x v="2"/>
    <x v="1"/>
    <x v="0"/>
    <x v="4"/>
    <x v="4"/>
    <x v="7"/>
    <x v="597"/>
    <x v="0"/>
    <x v="9"/>
    <x v="0"/>
    <n v="48540"/>
  </r>
  <r>
    <s v="CSKU06882_2ES"/>
    <x v="2"/>
    <x v="1"/>
    <x v="0"/>
    <x v="0"/>
    <x v="4"/>
    <x v="7"/>
    <x v="597"/>
    <x v="0"/>
    <x v="9"/>
    <x v="0"/>
    <n v="52070"/>
  </r>
  <r>
    <s v="CSKU06883_2ES"/>
    <x v="2"/>
    <x v="1"/>
    <x v="0"/>
    <x v="7"/>
    <x v="4"/>
    <x v="7"/>
    <x v="597"/>
    <x v="0"/>
    <x v="9"/>
    <x v="0"/>
    <n v="55640"/>
  </r>
  <r>
    <s v="CSKU06884_2ES"/>
    <x v="2"/>
    <x v="1"/>
    <x v="0"/>
    <x v="4"/>
    <x v="1"/>
    <x v="7"/>
    <x v="597"/>
    <x v="0"/>
    <x v="9"/>
    <x v="0"/>
    <n v="56520"/>
  </r>
  <r>
    <s v="CSKU06885_2ES"/>
    <x v="2"/>
    <x v="1"/>
    <x v="0"/>
    <x v="0"/>
    <x v="1"/>
    <x v="7"/>
    <x v="597"/>
    <x v="0"/>
    <x v="9"/>
    <x v="0"/>
    <n v="60050"/>
  </r>
  <r>
    <s v="CSKU06886_2ES"/>
    <x v="2"/>
    <x v="1"/>
    <x v="0"/>
    <x v="7"/>
    <x v="1"/>
    <x v="7"/>
    <x v="597"/>
    <x v="0"/>
    <x v="9"/>
    <x v="0"/>
    <n v="63600"/>
  </r>
  <r>
    <s v="CSKU06887_2ES"/>
    <x v="2"/>
    <x v="1"/>
    <x v="1"/>
    <x v="4"/>
    <x v="4"/>
    <x v="7"/>
    <x v="597"/>
    <x v="1"/>
    <x v="9"/>
    <x v="0"/>
    <n v="52800"/>
  </r>
  <r>
    <s v="CSKU06888_2ES"/>
    <x v="2"/>
    <x v="1"/>
    <x v="1"/>
    <x v="0"/>
    <x v="4"/>
    <x v="7"/>
    <x v="597"/>
    <x v="1"/>
    <x v="9"/>
    <x v="0"/>
    <n v="56760"/>
  </r>
  <r>
    <s v="CSKU06460_2ES"/>
    <x v="2"/>
    <x v="1"/>
    <x v="1"/>
    <x v="7"/>
    <x v="1"/>
    <x v="7"/>
    <x v="544"/>
    <x v="1"/>
    <x v="9"/>
    <x v="0"/>
    <n v="69560"/>
  </r>
  <r>
    <s v="CSKU06527_2ES"/>
    <x v="2"/>
    <x v="1"/>
    <x v="1"/>
    <x v="4"/>
    <x v="4"/>
    <x v="7"/>
    <x v="562"/>
    <x v="1"/>
    <x v="9"/>
    <x v="0"/>
    <n v="66080"/>
  </r>
  <r>
    <s v="CSKU06528_2ES"/>
    <x v="2"/>
    <x v="1"/>
    <x v="1"/>
    <x v="4"/>
    <x v="1"/>
    <x v="7"/>
    <x v="562"/>
    <x v="1"/>
    <x v="9"/>
    <x v="0"/>
    <n v="77880"/>
  </r>
  <r>
    <s v="CSKU06529_2ES"/>
    <x v="2"/>
    <x v="1"/>
    <x v="1"/>
    <x v="0"/>
    <x v="4"/>
    <x v="7"/>
    <x v="562"/>
    <x v="1"/>
    <x v="9"/>
    <x v="0"/>
    <n v="70040"/>
  </r>
  <r>
    <s v="CSKU06530_2ES"/>
    <x v="2"/>
    <x v="1"/>
    <x v="1"/>
    <x v="0"/>
    <x v="1"/>
    <x v="7"/>
    <x v="562"/>
    <x v="1"/>
    <x v="9"/>
    <x v="0"/>
    <n v="81840"/>
  </r>
  <r>
    <s v="CSKU06531_2ES"/>
    <x v="2"/>
    <x v="1"/>
    <x v="1"/>
    <x v="7"/>
    <x v="4"/>
    <x v="7"/>
    <x v="562"/>
    <x v="1"/>
    <x v="9"/>
    <x v="0"/>
    <n v="74020"/>
  </r>
  <r>
    <s v="CSKU06532_2ES"/>
    <x v="2"/>
    <x v="1"/>
    <x v="1"/>
    <x v="7"/>
    <x v="1"/>
    <x v="7"/>
    <x v="562"/>
    <x v="1"/>
    <x v="9"/>
    <x v="0"/>
    <n v="85820"/>
  </r>
  <r>
    <s v="CSKU06596_2ES"/>
    <x v="2"/>
    <x v="1"/>
    <x v="0"/>
    <x v="4"/>
    <x v="1"/>
    <x v="7"/>
    <x v="563"/>
    <x v="0"/>
    <x v="9"/>
    <x v="0"/>
    <n v="87020"/>
  </r>
  <r>
    <s v="CSKU06597_2ES"/>
    <x v="2"/>
    <x v="1"/>
    <x v="0"/>
    <x v="0"/>
    <x v="1"/>
    <x v="7"/>
    <x v="563"/>
    <x v="0"/>
    <x v="9"/>
    <x v="0"/>
    <n v="90550"/>
  </r>
  <r>
    <s v="CSKU06598_2ES"/>
    <x v="2"/>
    <x v="1"/>
    <x v="0"/>
    <x v="7"/>
    <x v="1"/>
    <x v="7"/>
    <x v="563"/>
    <x v="0"/>
    <x v="9"/>
    <x v="0"/>
    <n v="94100"/>
  </r>
  <r>
    <s v="CSKU06599_2ES"/>
    <x v="2"/>
    <x v="1"/>
    <x v="1"/>
    <x v="4"/>
    <x v="4"/>
    <x v="7"/>
    <x v="563"/>
    <x v="1"/>
    <x v="9"/>
    <x v="0"/>
    <n v="77020"/>
  </r>
  <r>
    <s v="CSKU06600_2ES"/>
    <x v="2"/>
    <x v="1"/>
    <x v="1"/>
    <x v="4"/>
    <x v="1"/>
    <x v="7"/>
    <x v="563"/>
    <x v="1"/>
    <x v="9"/>
    <x v="0"/>
    <n v="91480"/>
  </r>
  <r>
    <s v="CSKU06601_2ES"/>
    <x v="2"/>
    <x v="1"/>
    <x v="1"/>
    <x v="0"/>
    <x v="4"/>
    <x v="7"/>
    <x v="563"/>
    <x v="1"/>
    <x v="9"/>
    <x v="0"/>
    <n v="80980"/>
  </r>
  <r>
    <s v="CSKU06602_2ES"/>
    <x v="2"/>
    <x v="1"/>
    <x v="1"/>
    <x v="0"/>
    <x v="1"/>
    <x v="7"/>
    <x v="563"/>
    <x v="1"/>
    <x v="9"/>
    <x v="0"/>
    <n v="95440"/>
  </r>
  <r>
    <s v="CSKU06603_2ES"/>
    <x v="2"/>
    <x v="1"/>
    <x v="1"/>
    <x v="7"/>
    <x v="4"/>
    <x v="7"/>
    <x v="563"/>
    <x v="1"/>
    <x v="9"/>
    <x v="0"/>
    <n v="84960"/>
  </r>
  <r>
    <s v="CSKU06665_2ES"/>
    <x v="2"/>
    <x v="1"/>
    <x v="0"/>
    <x v="4"/>
    <x v="4"/>
    <x v="7"/>
    <x v="598"/>
    <x v="0"/>
    <x v="9"/>
    <x v="0"/>
    <n v="73400"/>
  </r>
  <r>
    <s v="CSKU06666_2ES"/>
    <x v="2"/>
    <x v="1"/>
    <x v="0"/>
    <x v="0"/>
    <x v="4"/>
    <x v="7"/>
    <x v="598"/>
    <x v="0"/>
    <x v="9"/>
    <x v="0"/>
    <n v="76930"/>
  </r>
  <r>
    <s v="CSKU06953_2ES"/>
    <x v="2"/>
    <x v="1"/>
    <x v="0"/>
    <x v="4"/>
    <x v="4"/>
    <x v="7"/>
    <x v="595"/>
    <x v="0"/>
    <x v="9"/>
    <x v="0"/>
    <n v="64800"/>
  </r>
  <r>
    <s v="CSKU06954_2ES"/>
    <x v="2"/>
    <x v="1"/>
    <x v="0"/>
    <x v="0"/>
    <x v="4"/>
    <x v="7"/>
    <x v="595"/>
    <x v="0"/>
    <x v="9"/>
    <x v="0"/>
    <n v="68330"/>
  </r>
  <r>
    <s v="CSKU06955_2ES"/>
    <x v="2"/>
    <x v="1"/>
    <x v="0"/>
    <x v="7"/>
    <x v="4"/>
    <x v="7"/>
    <x v="595"/>
    <x v="0"/>
    <x v="9"/>
    <x v="0"/>
    <n v="71900"/>
  </r>
  <r>
    <s v="CSKU06956_2ES"/>
    <x v="2"/>
    <x v="1"/>
    <x v="0"/>
    <x v="4"/>
    <x v="1"/>
    <x v="7"/>
    <x v="595"/>
    <x v="0"/>
    <x v="9"/>
    <x v="0"/>
    <n v="76040"/>
  </r>
  <r>
    <s v="CSKU06957_2ES"/>
    <x v="2"/>
    <x v="1"/>
    <x v="0"/>
    <x v="0"/>
    <x v="1"/>
    <x v="7"/>
    <x v="595"/>
    <x v="0"/>
    <x v="9"/>
    <x v="0"/>
    <n v="79570"/>
  </r>
  <r>
    <s v="CSKU06958_2ES"/>
    <x v="2"/>
    <x v="1"/>
    <x v="0"/>
    <x v="7"/>
    <x v="1"/>
    <x v="7"/>
    <x v="595"/>
    <x v="0"/>
    <x v="9"/>
    <x v="0"/>
    <n v="83120"/>
  </r>
  <r>
    <s v="CSKU06959_2ES"/>
    <x v="2"/>
    <x v="1"/>
    <x v="1"/>
    <x v="4"/>
    <x v="4"/>
    <x v="7"/>
    <x v="595"/>
    <x v="1"/>
    <x v="9"/>
    <x v="0"/>
    <n v="68420"/>
  </r>
  <r>
    <s v="CSKU06889_2ES"/>
    <x v="2"/>
    <x v="1"/>
    <x v="1"/>
    <x v="7"/>
    <x v="4"/>
    <x v="7"/>
    <x v="597"/>
    <x v="1"/>
    <x v="9"/>
    <x v="0"/>
    <n v="60740"/>
  </r>
  <r>
    <s v="CSKU06960_2ES"/>
    <x v="2"/>
    <x v="1"/>
    <x v="1"/>
    <x v="4"/>
    <x v="1"/>
    <x v="7"/>
    <x v="595"/>
    <x v="1"/>
    <x v="9"/>
    <x v="0"/>
    <n v="80500"/>
  </r>
  <r>
    <s v="CSKU06961_2ES"/>
    <x v="2"/>
    <x v="1"/>
    <x v="1"/>
    <x v="0"/>
    <x v="4"/>
    <x v="7"/>
    <x v="595"/>
    <x v="1"/>
    <x v="9"/>
    <x v="0"/>
    <n v="72380"/>
  </r>
  <r>
    <s v="CSKU06809_2ES"/>
    <x v="2"/>
    <x v="1"/>
    <x v="0"/>
    <x v="4"/>
    <x v="4"/>
    <x v="7"/>
    <x v="599"/>
    <x v="0"/>
    <x v="9"/>
    <x v="0"/>
    <n v="64800"/>
  </r>
  <r>
    <s v="CSKU06810_2ES"/>
    <x v="2"/>
    <x v="1"/>
    <x v="0"/>
    <x v="0"/>
    <x v="4"/>
    <x v="7"/>
    <x v="599"/>
    <x v="0"/>
    <x v="9"/>
    <x v="0"/>
    <n v="68330"/>
  </r>
  <r>
    <s v="CSKU06811_2ES"/>
    <x v="2"/>
    <x v="1"/>
    <x v="0"/>
    <x v="7"/>
    <x v="4"/>
    <x v="7"/>
    <x v="599"/>
    <x v="0"/>
    <x v="9"/>
    <x v="0"/>
    <n v="71900"/>
  </r>
  <r>
    <s v="CSKU06812_2ES"/>
    <x v="2"/>
    <x v="1"/>
    <x v="0"/>
    <x v="4"/>
    <x v="1"/>
    <x v="7"/>
    <x v="599"/>
    <x v="0"/>
    <x v="9"/>
    <x v="0"/>
    <n v="76040"/>
  </r>
  <r>
    <s v="CSKU06813_2ES"/>
    <x v="2"/>
    <x v="1"/>
    <x v="0"/>
    <x v="0"/>
    <x v="1"/>
    <x v="7"/>
    <x v="599"/>
    <x v="0"/>
    <x v="9"/>
    <x v="0"/>
    <n v="79570"/>
  </r>
  <r>
    <s v="CSKU06814_2ES"/>
    <x v="2"/>
    <x v="1"/>
    <x v="0"/>
    <x v="7"/>
    <x v="1"/>
    <x v="7"/>
    <x v="599"/>
    <x v="0"/>
    <x v="9"/>
    <x v="0"/>
    <n v="83120"/>
  </r>
  <r>
    <s v="CSKU06815_2ES"/>
    <x v="2"/>
    <x v="1"/>
    <x v="1"/>
    <x v="4"/>
    <x v="4"/>
    <x v="7"/>
    <x v="599"/>
    <x v="1"/>
    <x v="9"/>
    <x v="0"/>
    <n v="68420"/>
  </r>
  <r>
    <s v="CSKU06816_2ES"/>
    <x v="2"/>
    <x v="1"/>
    <x v="1"/>
    <x v="4"/>
    <x v="1"/>
    <x v="7"/>
    <x v="599"/>
    <x v="1"/>
    <x v="9"/>
    <x v="0"/>
    <n v="80500"/>
  </r>
  <r>
    <s v="CSKU06561_2ES"/>
    <x v="2"/>
    <x v="1"/>
    <x v="0"/>
    <x v="0"/>
    <x v="1"/>
    <x v="7"/>
    <x v="117"/>
    <x v="0"/>
    <x v="9"/>
    <x v="0"/>
    <n v="71030"/>
  </r>
  <r>
    <s v="CSKU06562_2ES"/>
    <x v="2"/>
    <x v="1"/>
    <x v="0"/>
    <x v="7"/>
    <x v="1"/>
    <x v="7"/>
    <x v="117"/>
    <x v="0"/>
    <x v="9"/>
    <x v="0"/>
    <n v="74580"/>
  </r>
  <r>
    <s v="CSKU06563_2ES"/>
    <x v="2"/>
    <x v="1"/>
    <x v="1"/>
    <x v="4"/>
    <x v="4"/>
    <x v="7"/>
    <x v="117"/>
    <x v="1"/>
    <x v="9"/>
    <x v="0"/>
    <n v="61400"/>
  </r>
  <r>
    <s v="CSKU06564_2ES"/>
    <x v="2"/>
    <x v="1"/>
    <x v="1"/>
    <x v="0"/>
    <x v="4"/>
    <x v="7"/>
    <x v="117"/>
    <x v="1"/>
    <x v="9"/>
    <x v="0"/>
    <n v="65360"/>
  </r>
  <r>
    <s v="CSKU06604_2ES"/>
    <x v="2"/>
    <x v="1"/>
    <x v="1"/>
    <x v="7"/>
    <x v="1"/>
    <x v="7"/>
    <x v="563"/>
    <x v="1"/>
    <x v="9"/>
    <x v="0"/>
    <n v="99420"/>
  </r>
  <r>
    <s v="CSKU06667_2ES"/>
    <x v="2"/>
    <x v="1"/>
    <x v="0"/>
    <x v="7"/>
    <x v="4"/>
    <x v="7"/>
    <x v="598"/>
    <x v="0"/>
    <x v="9"/>
    <x v="0"/>
    <n v="80500"/>
  </r>
  <r>
    <s v="CSKU06747_2ES"/>
    <x v="2"/>
    <x v="1"/>
    <x v="1"/>
    <x v="7"/>
    <x v="4"/>
    <x v="7"/>
    <x v="596"/>
    <x v="1"/>
    <x v="9"/>
    <x v="0"/>
    <n v="84960"/>
  </r>
  <r>
    <s v="CSKU06817_2ES"/>
    <x v="2"/>
    <x v="1"/>
    <x v="1"/>
    <x v="0"/>
    <x v="4"/>
    <x v="7"/>
    <x v="599"/>
    <x v="1"/>
    <x v="9"/>
    <x v="0"/>
    <n v="72380"/>
  </r>
  <r>
    <s v="CSKU06890_2ES"/>
    <x v="2"/>
    <x v="1"/>
    <x v="1"/>
    <x v="4"/>
    <x v="1"/>
    <x v="7"/>
    <x v="597"/>
    <x v="1"/>
    <x v="9"/>
    <x v="0"/>
    <n v="61620"/>
  </r>
  <r>
    <s v="CSKU06668_2ES"/>
    <x v="2"/>
    <x v="1"/>
    <x v="0"/>
    <x v="4"/>
    <x v="1"/>
    <x v="7"/>
    <x v="598"/>
    <x v="0"/>
    <x v="9"/>
    <x v="0"/>
    <n v="87020"/>
  </r>
  <r>
    <s v="CSKU06669_2ES"/>
    <x v="2"/>
    <x v="1"/>
    <x v="0"/>
    <x v="0"/>
    <x v="1"/>
    <x v="7"/>
    <x v="598"/>
    <x v="0"/>
    <x v="9"/>
    <x v="0"/>
    <n v="90550"/>
  </r>
  <r>
    <s v="CSKU06670_2ES"/>
    <x v="2"/>
    <x v="1"/>
    <x v="0"/>
    <x v="7"/>
    <x v="1"/>
    <x v="7"/>
    <x v="598"/>
    <x v="0"/>
    <x v="9"/>
    <x v="0"/>
    <n v="94100"/>
  </r>
  <r>
    <s v="CSKU06671_2ES"/>
    <x v="2"/>
    <x v="1"/>
    <x v="1"/>
    <x v="4"/>
    <x v="4"/>
    <x v="7"/>
    <x v="598"/>
    <x v="1"/>
    <x v="9"/>
    <x v="0"/>
    <n v="77020"/>
  </r>
  <r>
    <s v="CSKU06672_2ES"/>
    <x v="2"/>
    <x v="1"/>
    <x v="1"/>
    <x v="4"/>
    <x v="1"/>
    <x v="7"/>
    <x v="598"/>
    <x v="1"/>
    <x v="9"/>
    <x v="0"/>
    <n v="91480"/>
  </r>
  <r>
    <s v="CSKU06673_2ES"/>
    <x v="2"/>
    <x v="1"/>
    <x v="1"/>
    <x v="0"/>
    <x v="4"/>
    <x v="7"/>
    <x v="598"/>
    <x v="1"/>
    <x v="9"/>
    <x v="0"/>
    <n v="80980"/>
  </r>
  <r>
    <s v="CSKU06674_2ES"/>
    <x v="2"/>
    <x v="1"/>
    <x v="1"/>
    <x v="0"/>
    <x v="1"/>
    <x v="7"/>
    <x v="598"/>
    <x v="1"/>
    <x v="9"/>
    <x v="0"/>
    <n v="95440"/>
  </r>
  <r>
    <s v="CSKU06675_2ES"/>
    <x v="2"/>
    <x v="1"/>
    <x v="1"/>
    <x v="7"/>
    <x v="4"/>
    <x v="7"/>
    <x v="598"/>
    <x v="1"/>
    <x v="9"/>
    <x v="0"/>
    <n v="84960"/>
  </r>
  <r>
    <s v="CSKU06748_2ES"/>
    <x v="2"/>
    <x v="1"/>
    <x v="1"/>
    <x v="7"/>
    <x v="1"/>
    <x v="7"/>
    <x v="596"/>
    <x v="1"/>
    <x v="9"/>
    <x v="0"/>
    <n v="99420"/>
  </r>
  <r>
    <s v="CSKU06818_2ES"/>
    <x v="2"/>
    <x v="1"/>
    <x v="1"/>
    <x v="0"/>
    <x v="1"/>
    <x v="7"/>
    <x v="599"/>
    <x v="1"/>
    <x v="9"/>
    <x v="0"/>
    <n v="84460"/>
  </r>
  <r>
    <s v="CSKU06819_2ES"/>
    <x v="2"/>
    <x v="1"/>
    <x v="1"/>
    <x v="7"/>
    <x v="4"/>
    <x v="7"/>
    <x v="599"/>
    <x v="1"/>
    <x v="9"/>
    <x v="0"/>
    <n v="76360"/>
  </r>
  <r>
    <s v="CSKU06820_2ES"/>
    <x v="2"/>
    <x v="1"/>
    <x v="1"/>
    <x v="7"/>
    <x v="1"/>
    <x v="7"/>
    <x v="599"/>
    <x v="1"/>
    <x v="9"/>
    <x v="0"/>
    <n v="88440"/>
  </r>
  <r>
    <s v="CSKU06676_2ES"/>
    <x v="2"/>
    <x v="1"/>
    <x v="1"/>
    <x v="7"/>
    <x v="1"/>
    <x v="7"/>
    <x v="598"/>
    <x v="1"/>
    <x v="9"/>
    <x v="0"/>
    <n v="99420"/>
  </r>
  <r>
    <s v="CSKU06485_2ES"/>
    <x v="2"/>
    <x v="1"/>
    <x v="0"/>
    <x v="4"/>
    <x v="4"/>
    <x v="7"/>
    <x v="600"/>
    <x v="0"/>
    <x v="9"/>
    <x v="0"/>
    <n v="64800"/>
  </r>
  <r>
    <s v="CSKU06486_2ES"/>
    <x v="2"/>
    <x v="1"/>
    <x v="0"/>
    <x v="0"/>
    <x v="4"/>
    <x v="7"/>
    <x v="600"/>
    <x v="0"/>
    <x v="9"/>
    <x v="0"/>
    <n v="68330"/>
  </r>
  <r>
    <s v="CSKU06487_2ES"/>
    <x v="2"/>
    <x v="1"/>
    <x v="0"/>
    <x v="7"/>
    <x v="4"/>
    <x v="7"/>
    <x v="600"/>
    <x v="0"/>
    <x v="9"/>
    <x v="0"/>
    <n v="71900"/>
  </r>
  <r>
    <s v="CSKU06488_2ES"/>
    <x v="2"/>
    <x v="1"/>
    <x v="0"/>
    <x v="4"/>
    <x v="1"/>
    <x v="7"/>
    <x v="600"/>
    <x v="0"/>
    <x v="9"/>
    <x v="0"/>
    <n v="76040"/>
  </r>
  <r>
    <s v="CSKU06493_2ES"/>
    <x v="2"/>
    <x v="1"/>
    <x v="1"/>
    <x v="0"/>
    <x v="4"/>
    <x v="7"/>
    <x v="600"/>
    <x v="1"/>
    <x v="9"/>
    <x v="0"/>
    <n v="72380"/>
  </r>
  <r>
    <s v="CSKU06494_2ES"/>
    <x v="2"/>
    <x v="1"/>
    <x v="1"/>
    <x v="0"/>
    <x v="1"/>
    <x v="7"/>
    <x v="600"/>
    <x v="1"/>
    <x v="9"/>
    <x v="0"/>
    <n v="84460"/>
  </r>
  <r>
    <s v="CSKU06495_2ES"/>
    <x v="2"/>
    <x v="1"/>
    <x v="1"/>
    <x v="7"/>
    <x v="4"/>
    <x v="7"/>
    <x v="600"/>
    <x v="1"/>
    <x v="9"/>
    <x v="0"/>
    <n v="76360"/>
  </r>
  <r>
    <s v="CSKU06496_2ES"/>
    <x v="2"/>
    <x v="1"/>
    <x v="1"/>
    <x v="7"/>
    <x v="1"/>
    <x v="7"/>
    <x v="600"/>
    <x v="1"/>
    <x v="9"/>
    <x v="0"/>
    <n v="88440"/>
  </r>
  <r>
    <s v="CSKU06557_2ES"/>
    <x v="2"/>
    <x v="1"/>
    <x v="0"/>
    <x v="4"/>
    <x v="4"/>
    <x v="7"/>
    <x v="117"/>
    <x v="0"/>
    <x v="9"/>
    <x v="0"/>
    <n v="57140"/>
  </r>
  <r>
    <s v="CSKU06558_2ES"/>
    <x v="2"/>
    <x v="1"/>
    <x v="0"/>
    <x v="0"/>
    <x v="4"/>
    <x v="7"/>
    <x v="117"/>
    <x v="0"/>
    <x v="9"/>
    <x v="0"/>
    <n v="60670"/>
  </r>
  <r>
    <s v="CSKU06559_2ES"/>
    <x v="2"/>
    <x v="1"/>
    <x v="0"/>
    <x v="7"/>
    <x v="4"/>
    <x v="7"/>
    <x v="117"/>
    <x v="0"/>
    <x v="9"/>
    <x v="0"/>
    <n v="64240"/>
  </r>
  <r>
    <s v="CSKU06560_2ES"/>
    <x v="2"/>
    <x v="1"/>
    <x v="0"/>
    <x v="4"/>
    <x v="1"/>
    <x v="7"/>
    <x v="117"/>
    <x v="0"/>
    <x v="9"/>
    <x v="0"/>
    <n v="67500"/>
  </r>
  <r>
    <s v="CSKU06489_2ES"/>
    <x v="2"/>
    <x v="1"/>
    <x v="0"/>
    <x v="0"/>
    <x v="1"/>
    <x v="7"/>
    <x v="600"/>
    <x v="0"/>
    <x v="9"/>
    <x v="0"/>
    <n v="79570"/>
  </r>
  <r>
    <s v="CSKU06490_2ES"/>
    <x v="2"/>
    <x v="1"/>
    <x v="0"/>
    <x v="7"/>
    <x v="1"/>
    <x v="7"/>
    <x v="600"/>
    <x v="0"/>
    <x v="9"/>
    <x v="0"/>
    <n v="83120"/>
  </r>
  <r>
    <s v="CSKU06491_2ES"/>
    <x v="2"/>
    <x v="1"/>
    <x v="1"/>
    <x v="4"/>
    <x v="4"/>
    <x v="7"/>
    <x v="600"/>
    <x v="1"/>
    <x v="9"/>
    <x v="0"/>
    <n v="68420"/>
  </r>
  <r>
    <s v="CSKU06492_2ES"/>
    <x v="2"/>
    <x v="1"/>
    <x v="1"/>
    <x v="4"/>
    <x v="1"/>
    <x v="7"/>
    <x v="600"/>
    <x v="1"/>
    <x v="9"/>
    <x v="0"/>
    <n v="80500"/>
  </r>
  <r>
    <s v="CSKU06413_2ES"/>
    <x v="2"/>
    <x v="1"/>
    <x v="0"/>
    <x v="4"/>
    <x v="4"/>
    <x v="7"/>
    <x v="601"/>
    <x v="0"/>
    <x v="9"/>
    <x v="0"/>
    <n v="57140"/>
  </r>
  <r>
    <s v="CSKU06414_2ES"/>
    <x v="2"/>
    <x v="1"/>
    <x v="0"/>
    <x v="0"/>
    <x v="4"/>
    <x v="7"/>
    <x v="601"/>
    <x v="0"/>
    <x v="9"/>
    <x v="0"/>
    <n v="60670"/>
  </r>
  <r>
    <s v="CSKU06415_2ES"/>
    <x v="2"/>
    <x v="1"/>
    <x v="0"/>
    <x v="7"/>
    <x v="4"/>
    <x v="7"/>
    <x v="601"/>
    <x v="0"/>
    <x v="9"/>
    <x v="0"/>
    <n v="64240"/>
  </r>
  <r>
    <s v="CSKU06416_2ES"/>
    <x v="2"/>
    <x v="1"/>
    <x v="0"/>
    <x v="4"/>
    <x v="1"/>
    <x v="7"/>
    <x v="601"/>
    <x v="0"/>
    <x v="9"/>
    <x v="0"/>
    <n v="67500"/>
  </r>
  <r>
    <s v="CSKU06053_2ES"/>
    <x v="2"/>
    <x v="1"/>
    <x v="0"/>
    <x v="4"/>
    <x v="4"/>
    <x v="7"/>
    <x v="602"/>
    <x v="0"/>
    <x v="9"/>
    <x v="0"/>
    <n v="73400"/>
  </r>
  <r>
    <s v="CSKU06417_2ES"/>
    <x v="2"/>
    <x v="1"/>
    <x v="0"/>
    <x v="0"/>
    <x v="1"/>
    <x v="7"/>
    <x v="601"/>
    <x v="0"/>
    <x v="9"/>
    <x v="0"/>
    <n v="71030"/>
  </r>
  <r>
    <s v="CSKU06269_2ES"/>
    <x v="2"/>
    <x v="1"/>
    <x v="0"/>
    <x v="4"/>
    <x v="4"/>
    <x v="7"/>
    <x v="603"/>
    <x v="0"/>
    <x v="9"/>
    <x v="0"/>
    <n v="46200"/>
  </r>
  <r>
    <s v="CSKU06341_2ES"/>
    <x v="2"/>
    <x v="1"/>
    <x v="0"/>
    <x v="4"/>
    <x v="4"/>
    <x v="7"/>
    <x v="604"/>
    <x v="0"/>
    <x v="9"/>
    <x v="0"/>
    <n v="57140"/>
  </r>
  <r>
    <s v="CSKU06342_2ES"/>
    <x v="2"/>
    <x v="1"/>
    <x v="0"/>
    <x v="0"/>
    <x v="4"/>
    <x v="7"/>
    <x v="604"/>
    <x v="0"/>
    <x v="9"/>
    <x v="0"/>
    <n v="60670"/>
  </r>
  <r>
    <s v="CSKU06343_2ES"/>
    <x v="2"/>
    <x v="1"/>
    <x v="0"/>
    <x v="7"/>
    <x v="4"/>
    <x v="7"/>
    <x v="604"/>
    <x v="0"/>
    <x v="9"/>
    <x v="0"/>
    <n v="64240"/>
  </r>
  <r>
    <s v="CSKU06344_2ES"/>
    <x v="2"/>
    <x v="1"/>
    <x v="0"/>
    <x v="4"/>
    <x v="1"/>
    <x v="7"/>
    <x v="604"/>
    <x v="0"/>
    <x v="9"/>
    <x v="0"/>
    <n v="67500"/>
  </r>
  <r>
    <s v="CSKU06345_2ES"/>
    <x v="2"/>
    <x v="1"/>
    <x v="0"/>
    <x v="0"/>
    <x v="1"/>
    <x v="7"/>
    <x v="604"/>
    <x v="0"/>
    <x v="9"/>
    <x v="0"/>
    <n v="71030"/>
  </r>
  <r>
    <s v="CSKU06346_2ES"/>
    <x v="2"/>
    <x v="1"/>
    <x v="0"/>
    <x v="7"/>
    <x v="1"/>
    <x v="7"/>
    <x v="604"/>
    <x v="0"/>
    <x v="9"/>
    <x v="0"/>
    <n v="74580"/>
  </r>
  <r>
    <s v="CSKU06347_2ES"/>
    <x v="2"/>
    <x v="1"/>
    <x v="1"/>
    <x v="4"/>
    <x v="4"/>
    <x v="7"/>
    <x v="604"/>
    <x v="1"/>
    <x v="9"/>
    <x v="0"/>
    <n v="61400"/>
  </r>
  <r>
    <s v="CSKU06418_2ES"/>
    <x v="2"/>
    <x v="1"/>
    <x v="0"/>
    <x v="7"/>
    <x v="1"/>
    <x v="7"/>
    <x v="601"/>
    <x v="0"/>
    <x v="9"/>
    <x v="0"/>
    <n v="74580"/>
  </r>
  <r>
    <s v="CSKU06419_2ES"/>
    <x v="2"/>
    <x v="1"/>
    <x v="1"/>
    <x v="4"/>
    <x v="4"/>
    <x v="7"/>
    <x v="601"/>
    <x v="1"/>
    <x v="9"/>
    <x v="0"/>
    <n v="61400"/>
  </r>
  <r>
    <s v="CSKU06420_2ES"/>
    <x v="2"/>
    <x v="1"/>
    <x v="1"/>
    <x v="0"/>
    <x v="4"/>
    <x v="7"/>
    <x v="601"/>
    <x v="1"/>
    <x v="9"/>
    <x v="0"/>
    <n v="65360"/>
  </r>
  <r>
    <s v="CSKU06421_2ES"/>
    <x v="2"/>
    <x v="1"/>
    <x v="1"/>
    <x v="7"/>
    <x v="4"/>
    <x v="7"/>
    <x v="601"/>
    <x v="1"/>
    <x v="9"/>
    <x v="0"/>
    <n v="69340"/>
  </r>
  <r>
    <s v="CSKU06422_2ES"/>
    <x v="2"/>
    <x v="1"/>
    <x v="1"/>
    <x v="4"/>
    <x v="1"/>
    <x v="7"/>
    <x v="601"/>
    <x v="1"/>
    <x v="9"/>
    <x v="0"/>
    <n v="72600"/>
  </r>
  <r>
    <s v="CSKU06423_2ES"/>
    <x v="2"/>
    <x v="1"/>
    <x v="1"/>
    <x v="0"/>
    <x v="1"/>
    <x v="7"/>
    <x v="601"/>
    <x v="1"/>
    <x v="9"/>
    <x v="0"/>
    <n v="76560"/>
  </r>
  <r>
    <s v="CSKU06424_2ES"/>
    <x v="2"/>
    <x v="1"/>
    <x v="1"/>
    <x v="7"/>
    <x v="1"/>
    <x v="7"/>
    <x v="601"/>
    <x v="1"/>
    <x v="9"/>
    <x v="0"/>
    <n v="80540"/>
  </r>
  <r>
    <s v="CSKU06054_2ES"/>
    <x v="2"/>
    <x v="1"/>
    <x v="0"/>
    <x v="0"/>
    <x v="4"/>
    <x v="7"/>
    <x v="602"/>
    <x v="0"/>
    <x v="9"/>
    <x v="0"/>
    <n v="76930"/>
  </r>
  <r>
    <s v="CSKU05981_2ES"/>
    <x v="2"/>
    <x v="1"/>
    <x v="0"/>
    <x v="4"/>
    <x v="4"/>
    <x v="7"/>
    <x v="605"/>
    <x v="0"/>
    <x v="9"/>
    <x v="0"/>
    <n v="64800"/>
  </r>
  <r>
    <s v="CSKU05982_2ES"/>
    <x v="2"/>
    <x v="1"/>
    <x v="0"/>
    <x v="0"/>
    <x v="4"/>
    <x v="7"/>
    <x v="605"/>
    <x v="0"/>
    <x v="9"/>
    <x v="0"/>
    <n v="68330"/>
  </r>
  <r>
    <s v="CSKU05983_2ES"/>
    <x v="2"/>
    <x v="1"/>
    <x v="0"/>
    <x v="7"/>
    <x v="4"/>
    <x v="7"/>
    <x v="605"/>
    <x v="0"/>
    <x v="9"/>
    <x v="0"/>
    <n v="71900"/>
  </r>
  <r>
    <s v="CSKU05984_2ES"/>
    <x v="2"/>
    <x v="1"/>
    <x v="0"/>
    <x v="4"/>
    <x v="1"/>
    <x v="7"/>
    <x v="605"/>
    <x v="0"/>
    <x v="9"/>
    <x v="0"/>
    <n v="76040"/>
  </r>
  <r>
    <s v="CSKU05985_2ES"/>
    <x v="2"/>
    <x v="1"/>
    <x v="0"/>
    <x v="0"/>
    <x v="1"/>
    <x v="7"/>
    <x v="605"/>
    <x v="0"/>
    <x v="9"/>
    <x v="0"/>
    <n v="79570"/>
  </r>
  <r>
    <s v="CSKU05986_2ES"/>
    <x v="2"/>
    <x v="1"/>
    <x v="0"/>
    <x v="7"/>
    <x v="1"/>
    <x v="7"/>
    <x v="605"/>
    <x v="0"/>
    <x v="9"/>
    <x v="0"/>
    <n v="83120"/>
  </r>
  <r>
    <s v="CSKU05987_2ES"/>
    <x v="2"/>
    <x v="1"/>
    <x v="1"/>
    <x v="4"/>
    <x v="4"/>
    <x v="7"/>
    <x v="605"/>
    <x v="1"/>
    <x v="9"/>
    <x v="0"/>
    <n v="68420"/>
  </r>
  <r>
    <s v="CSKU06055_2ES"/>
    <x v="2"/>
    <x v="1"/>
    <x v="0"/>
    <x v="7"/>
    <x v="4"/>
    <x v="7"/>
    <x v="602"/>
    <x v="0"/>
    <x v="9"/>
    <x v="0"/>
    <n v="80500"/>
  </r>
  <r>
    <s v="CSKU06056_2ES"/>
    <x v="2"/>
    <x v="1"/>
    <x v="0"/>
    <x v="4"/>
    <x v="1"/>
    <x v="7"/>
    <x v="602"/>
    <x v="0"/>
    <x v="9"/>
    <x v="0"/>
    <n v="87020"/>
  </r>
  <r>
    <s v="CSKU06057_2ES"/>
    <x v="2"/>
    <x v="1"/>
    <x v="0"/>
    <x v="0"/>
    <x v="1"/>
    <x v="7"/>
    <x v="602"/>
    <x v="0"/>
    <x v="9"/>
    <x v="0"/>
    <n v="90550"/>
  </r>
  <r>
    <s v="CSKU06058_2ES"/>
    <x v="2"/>
    <x v="1"/>
    <x v="0"/>
    <x v="7"/>
    <x v="1"/>
    <x v="7"/>
    <x v="602"/>
    <x v="0"/>
    <x v="9"/>
    <x v="0"/>
    <n v="94100"/>
  </r>
  <r>
    <s v="CSKU06059_2ES"/>
    <x v="2"/>
    <x v="1"/>
    <x v="1"/>
    <x v="4"/>
    <x v="4"/>
    <x v="7"/>
    <x v="602"/>
    <x v="1"/>
    <x v="9"/>
    <x v="0"/>
    <n v="77020"/>
  </r>
  <r>
    <s v="CSKU06060_2ES"/>
    <x v="2"/>
    <x v="1"/>
    <x v="1"/>
    <x v="4"/>
    <x v="1"/>
    <x v="7"/>
    <x v="602"/>
    <x v="1"/>
    <x v="9"/>
    <x v="0"/>
    <n v="91480"/>
  </r>
  <r>
    <s v="CSKU06061_2ES"/>
    <x v="2"/>
    <x v="1"/>
    <x v="1"/>
    <x v="0"/>
    <x v="4"/>
    <x v="7"/>
    <x v="602"/>
    <x v="1"/>
    <x v="9"/>
    <x v="0"/>
    <n v="80980"/>
  </r>
  <r>
    <s v="CSKU06062_2ES"/>
    <x v="2"/>
    <x v="1"/>
    <x v="1"/>
    <x v="0"/>
    <x v="1"/>
    <x v="7"/>
    <x v="602"/>
    <x v="1"/>
    <x v="9"/>
    <x v="0"/>
    <n v="95440"/>
  </r>
  <r>
    <s v="CSKU06125_2ES"/>
    <x v="2"/>
    <x v="1"/>
    <x v="0"/>
    <x v="4"/>
    <x v="4"/>
    <x v="7"/>
    <x v="606"/>
    <x v="0"/>
    <x v="9"/>
    <x v="0"/>
    <n v="64800"/>
  </r>
  <r>
    <s v="CSKU06126_2ES"/>
    <x v="2"/>
    <x v="1"/>
    <x v="0"/>
    <x v="0"/>
    <x v="4"/>
    <x v="7"/>
    <x v="606"/>
    <x v="0"/>
    <x v="9"/>
    <x v="0"/>
    <n v="68330"/>
  </r>
  <r>
    <s v="CSKU06127_2ES"/>
    <x v="2"/>
    <x v="1"/>
    <x v="0"/>
    <x v="7"/>
    <x v="4"/>
    <x v="7"/>
    <x v="606"/>
    <x v="0"/>
    <x v="9"/>
    <x v="0"/>
    <n v="71900"/>
  </r>
  <r>
    <s v="CSKU06128_2ES"/>
    <x v="2"/>
    <x v="1"/>
    <x v="0"/>
    <x v="4"/>
    <x v="1"/>
    <x v="7"/>
    <x v="606"/>
    <x v="0"/>
    <x v="9"/>
    <x v="0"/>
    <n v="76040"/>
  </r>
  <r>
    <s v="CSKU06129_2ES"/>
    <x v="2"/>
    <x v="1"/>
    <x v="0"/>
    <x v="0"/>
    <x v="1"/>
    <x v="7"/>
    <x v="606"/>
    <x v="0"/>
    <x v="9"/>
    <x v="0"/>
    <n v="79570"/>
  </r>
  <r>
    <s v="CSKU06130_2ES"/>
    <x v="2"/>
    <x v="1"/>
    <x v="0"/>
    <x v="7"/>
    <x v="1"/>
    <x v="7"/>
    <x v="606"/>
    <x v="0"/>
    <x v="9"/>
    <x v="0"/>
    <n v="83120"/>
  </r>
  <r>
    <s v="CSKU06197_2ES"/>
    <x v="2"/>
    <x v="1"/>
    <x v="0"/>
    <x v="4"/>
    <x v="4"/>
    <x v="7"/>
    <x v="607"/>
    <x v="0"/>
    <x v="9"/>
    <x v="0"/>
    <n v="48540"/>
  </r>
  <r>
    <s v="CSKU06198_2ES"/>
    <x v="2"/>
    <x v="1"/>
    <x v="0"/>
    <x v="0"/>
    <x v="4"/>
    <x v="7"/>
    <x v="607"/>
    <x v="0"/>
    <x v="9"/>
    <x v="0"/>
    <n v="52070"/>
  </r>
  <r>
    <s v="CSKU06199_2ES"/>
    <x v="2"/>
    <x v="1"/>
    <x v="0"/>
    <x v="7"/>
    <x v="4"/>
    <x v="7"/>
    <x v="607"/>
    <x v="0"/>
    <x v="9"/>
    <x v="0"/>
    <n v="55640"/>
  </r>
  <r>
    <s v="CSKU06200_2ES"/>
    <x v="2"/>
    <x v="1"/>
    <x v="0"/>
    <x v="4"/>
    <x v="1"/>
    <x v="7"/>
    <x v="607"/>
    <x v="0"/>
    <x v="9"/>
    <x v="0"/>
    <n v="56520"/>
  </r>
  <r>
    <s v="CSKU06201_2ES"/>
    <x v="2"/>
    <x v="1"/>
    <x v="0"/>
    <x v="0"/>
    <x v="1"/>
    <x v="7"/>
    <x v="607"/>
    <x v="0"/>
    <x v="9"/>
    <x v="0"/>
    <n v="60050"/>
  </r>
  <r>
    <s v="CSKU06202_2ES"/>
    <x v="2"/>
    <x v="1"/>
    <x v="0"/>
    <x v="7"/>
    <x v="1"/>
    <x v="7"/>
    <x v="607"/>
    <x v="0"/>
    <x v="9"/>
    <x v="0"/>
    <n v="63600"/>
  </r>
  <r>
    <s v="CSKU06203_2ES"/>
    <x v="2"/>
    <x v="1"/>
    <x v="1"/>
    <x v="4"/>
    <x v="4"/>
    <x v="7"/>
    <x v="607"/>
    <x v="1"/>
    <x v="9"/>
    <x v="0"/>
    <n v="52800"/>
  </r>
  <r>
    <s v="CSKU06204_2ES"/>
    <x v="2"/>
    <x v="1"/>
    <x v="1"/>
    <x v="0"/>
    <x v="4"/>
    <x v="7"/>
    <x v="607"/>
    <x v="1"/>
    <x v="9"/>
    <x v="0"/>
    <n v="56760"/>
  </r>
  <r>
    <s v="CSKU06205_2ES"/>
    <x v="2"/>
    <x v="1"/>
    <x v="1"/>
    <x v="7"/>
    <x v="4"/>
    <x v="7"/>
    <x v="607"/>
    <x v="1"/>
    <x v="9"/>
    <x v="0"/>
    <n v="60740"/>
  </r>
  <r>
    <s v="CSKU06063_2ES"/>
    <x v="2"/>
    <x v="1"/>
    <x v="1"/>
    <x v="7"/>
    <x v="4"/>
    <x v="7"/>
    <x v="602"/>
    <x v="1"/>
    <x v="9"/>
    <x v="0"/>
    <n v="84960"/>
  </r>
  <r>
    <s v="CSKU06131_2ES"/>
    <x v="2"/>
    <x v="1"/>
    <x v="1"/>
    <x v="4"/>
    <x v="4"/>
    <x v="7"/>
    <x v="606"/>
    <x v="1"/>
    <x v="9"/>
    <x v="0"/>
    <n v="68420"/>
  </r>
  <r>
    <s v="CSKU06206_2ES"/>
    <x v="2"/>
    <x v="1"/>
    <x v="1"/>
    <x v="4"/>
    <x v="1"/>
    <x v="7"/>
    <x v="607"/>
    <x v="1"/>
    <x v="9"/>
    <x v="0"/>
    <n v="61620"/>
  </r>
  <r>
    <s v="CSKU06270_2ES"/>
    <x v="2"/>
    <x v="1"/>
    <x v="0"/>
    <x v="0"/>
    <x v="4"/>
    <x v="7"/>
    <x v="603"/>
    <x v="0"/>
    <x v="9"/>
    <x v="0"/>
    <n v="49730"/>
  </r>
  <r>
    <s v="CSKU06348_2ES"/>
    <x v="2"/>
    <x v="1"/>
    <x v="1"/>
    <x v="0"/>
    <x v="4"/>
    <x v="7"/>
    <x v="604"/>
    <x v="1"/>
    <x v="9"/>
    <x v="0"/>
    <n v="65360"/>
  </r>
  <r>
    <s v="CSKU06064_2ES"/>
    <x v="2"/>
    <x v="1"/>
    <x v="1"/>
    <x v="7"/>
    <x v="1"/>
    <x v="7"/>
    <x v="602"/>
    <x v="1"/>
    <x v="9"/>
    <x v="0"/>
    <n v="99420"/>
  </r>
  <r>
    <s v="CSKU06132_2ES"/>
    <x v="2"/>
    <x v="1"/>
    <x v="1"/>
    <x v="4"/>
    <x v="1"/>
    <x v="7"/>
    <x v="606"/>
    <x v="1"/>
    <x v="9"/>
    <x v="0"/>
    <n v="80500"/>
  </r>
  <r>
    <s v="CSKU06133_2ES"/>
    <x v="2"/>
    <x v="1"/>
    <x v="1"/>
    <x v="0"/>
    <x v="4"/>
    <x v="7"/>
    <x v="606"/>
    <x v="1"/>
    <x v="9"/>
    <x v="0"/>
    <n v="72380"/>
  </r>
  <r>
    <s v="CSKU06134_2ES"/>
    <x v="2"/>
    <x v="1"/>
    <x v="1"/>
    <x v="0"/>
    <x v="1"/>
    <x v="7"/>
    <x v="606"/>
    <x v="1"/>
    <x v="9"/>
    <x v="0"/>
    <n v="84460"/>
  </r>
  <r>
    <s v="CSKU06135_2ES"/>
    <x v="2"/>
    <x v="1"/>
    <x v="1"/>
    <x v="7"/>
    <x v="4"/>
    <x v="7"/>
    <x v="606"/>
    <x v="1"/>
    <x v="9"/>
    <x v="0"/>
    <n v="76360"/>
  </r>
  <r>
    <s v="CSKU06136_2ES"/>
    <x v="2"/>
    <x v="1"/>
    <x v="1"/>
    <x v="7"/>
    <x v="1"/>
    <x v="7"/>
    <x v="606"/>
    <x v="1"/>
    <x v="9"/>
    <x v="0"/>
    <n v="88440"/>
  </r>
  <r>
    <s v="CSKU05909_2ES"/>
    <x v="2"/>
    <x v="1"/>
    <x v="0"/>
    <x v="4"/>
    <x v="4"/>
    <x v="7"/>
    <x v="608"/>
    <x v="0"/>
    <x v="9"/>
    <x v="0"/>
    <n v="62460"/>
  </r>
  <r>
    <s v="CSKU05910_2ES"/>
    <x v="2"/>
    <x v="1"/>
    <x v="0"/>
    <x v="0"/>
    <x v="4"/>
    <x v="7"/>
    <x v="608"/>
    <x v="0"/>
    <x v="9"/>
    <x v="0"/>
    <n v="65990"/>
  </r>
  <r>
    <s v="CSKU05911_2ES"/>
    <x v="2"/>
    <x v="1"/>
    <x v="0"/>
    <x v="7"/>
    <x v="4"/>
    <x v="7"/>
    <x v="608"/>
    <x v="0"/>
    <x v="9"/>
    <x v="0"/>
    <n v="69560"/>
  </r>
  <r>
    <s v="CSKU06207_2ES"/>
    <x v="2"/>
    <x v="1"/>
    <x v="1"/>
    <x v="0"/>
    <x v="1"/>
    <x v="7"/>
    <x v="607"/>
    <x v="1"/>
    <x v="9"/>
    <x v="0"/>
    <n v="65580"/>
  </r>
  <r>
    <s v="CSKU06208_2ES"/>
    <x v="2"/>
    <x v="1"/>
    <x v="1"/>
    <x v="7"/>
    <x v="1"/>
    <x v="7"/>
    <x v="607"/>
    <x v="1"/>
    <x v="9"/>
    <x v="0"/>
    <n v="69560"/>
  </r>
  <r>
    <s v="CSKU06349_2ES"/>
    <x v="2"/>
    <x v="1"/>
    <x v="1"/>
    <x v="7"/>
    <x v="4"/>
    <x v="7"/>
    <x v="604"/>
    <x v="1"/>
    <x v="9"/>
    <x v="0"/>
    <n v="69340"/>
  </r>
  <r>
    <s v="CSKU06350_2ES"/>
    <x v="2"/>
    <x v="1"/>
    <x v="1"/>
    <x v="4"/>
    <x v="1"/>
    <x v="7"/>
    <x v="604"/>
    <x v="1"/>
    <x v="9"/>
    <x v="0"/>
    <n v="72600"/>
  </r>
  <r>
    <s v="CSKU06351_2ES"/>
    <x v="2"/>
    <x v="1"/>
    <x v="1"/>
    <x v="0"/>
    <x v="1"/>
    <x v="7"/>
    <x v="604"/>
    <x v="1"/>
    <x v="9"/>
    <x v="0"/>
    <n v="76560"/>
  </r>
  <r>
    <s v="CSKU06352_2ES"/>
    <x v="2"/>
    <x v="1"/>
    <x v="1"/>
    <x v="7"/>
    <x v="1"/>
    <x v="7"/>
    <x v="604"/>
    <x v="1"/>
    <x v="9"/>
    <x v="0"/>
    <n v="80540"/>
  </r>
  <r>
    <s v="CSKU06271_2ES"/>
    <x v="2"/>
    <x v="1"/>
    <x v="0"/>
    <x v="7"/>
    <x v="4"/>
    <x v="7"/>
    <x v="603"/>
    <x v="0"/>
    <x v="9"/>
    <x v="0"/>
    <n v="53300"/>
  </r>
  <r>
    <s v="CSKU06272_2ES"/>
    <x v="2"/>
    <x v="1"/>
    <x v="0"/>
    <x v="4"/>
    <x v="1"/>
    <x v="7"/>
    <x v="603"/>
    <x v="0"/>
    <x v="9"/>
    <x v="0"/>
    <n v="53900"/>
  </r>
  <r>
    <s v="CSKU06273_2ES"/>
    <x v="2"/>
    <x v="1"/>
    <x v="0"/>
    <x v="0"/>
    <x v="1"/>
    <x v="7"/>
    <x v="603"/>
    <x v="0"/>
    <x v="9"/>
    <x v="0"/>
    <n v="57430"/>
  </r>
  <r>
    <s v="CSKU06274_2ES"/>
    <x v="2"/>
    <x v="1"/>
    <x v="0"/>
    <x v="7"/>
    <x v="1"/>
    <x v="7"/>
    <x v="603"/>
    <x v="0"/>
    <x v="9"/>
    <x v="0"/>
    <n v="60980"/>
  </r>
  <r>
    <s v="CSKU06275_2ES"/>
    <x v="2"/>
    <x v="1"/>
    <x v="1"/>
    <x v="4"/>
    <x v="4"/>
    <x v="7"/>
    <x v="603"/>
    <x v="1"/>
    <x v="9"/>
    <x v="0"/>
    <n v="50460"/>
  </r>
  <r>
    <s v="CSKU06276_2ES"/>
    <x v="2"/>
    <x v="1"/>
    <x v="1"/>
    <x v="0"/>
    <x v="4"/>
    <x v="7"/>
    <x v="603"/>
    <x v="1"/>
    <x v="9"/>
    <x v="0"/>
    <n v="54420"/>
  </r>
  <r>
    <s v="CSKU06277_2ES"/>
    <x v="2"/>
    <x v="1"/>
    <x v="1"/>
    <x v="7"/>
    <x v="4"/>
    <x v="7"/>
    <x v="603"/>
    <x v="1"/>
    <x v="9"/>
    <x v="0"/>
    <n v="58400"/>
  </r>
  <r>
    <s v="CSKU06278_2ES"/>
    <x v="2"/>
    <x v="1"/>
    <x v="1"/>
    <x v="4"/>
    <x v="1"/>
    <x v="7"/>
    <x v="603"/>
    <x v="1"/>
    <x v="9"/>
    <x v="0"/>
    <n v="59000"/>
  </r>
  <r>
    <s v="CSKU06279_2ES"/>
    <x v="2"/>
    <x v="1"/>
    <x v="1"/>
    <x v="0"/>
    <x v="1"/>
    <x v="7"/>
    <x v="603"/>
    <x v="1"/>
    <x v="9"/>
    <x v="0"/>
    <n v="62960"/>
  </r>
  <r>
    <s v="CSKU06280_2ES"/>
    <x v="2"/>
    <x v="1"/>
    <x v="1"/>
    <x v="7"/>
    <x v="1"/>
    <x v="7"/>
    <x v="603"/>
    <x v="1"/>
    <x v="9"/>
    <x v="0"/>
    <n v="66940"/>
  </r>
  <r>
    <s v="CSKU05912_2ES"/>
    <x v="2"/>
    <x v="1"/>
    <x v="0"/>
    <x v="4"/>
    <x v="1"/>
    <x v="7"/>
    <x v="608"/>
    <x v="0"/>
    <x v="9"/>
    <x v="0"/>
    <n v="73420"/>
  </r>
  <r>
    <s v="CSKU05988_2ES"/>
    <x v="2"/>
    <x v="1"/>
    <x v="1"/>
    <x v="4"/>
    <x v="1"/>
    <x v="7"/>
    <x v="605"/>
    <x v="1"/>
    <x v="9"/>
    <x v="0"/>
    <n v="80500"/>
  </r>
  <r>
    <s v="CSKU05913_2ES"/>
    <x v="2"/>
    <x v="1"/>
    <x v="0"/>
    <x v="0"/>
    <x v="1"/>
    <x v="7"/>
    <x v="608"/>
    <x v="0"/>
    <x v="9"/>
    <x v="0"/>
    <n v="76950"/>
  </r>
  <r>
    <s v="CSKU05914_2ES"/>
    <x v="2"/>
    <x v="1"/>
    <x v="0"/>
    <x v="7"/>
    <x v="1"/>
    <x v="7"/>
    <x v="608"/>
    <x v="0"/>
    <x v="9"/>
    <x v="0"/>
    <n v="80500"/>
  </r>
  <r>
    <s v="CSKU05915_2ES"/>
    <x v="2"/>
    <x v="1"/>
    <x v="1"/>
    <x v="4"/>
    <x v="4"/>
    <x v="7"/>
    <x v="608"/>
    <x v="1"/>
    <x v="9"/>
    <x v="0"/>
    <n v="66080"/>
  </r>
  <r>
    <s v="CSKU05916_2ES"/>
    <x v="2"/>
    <x v="1"/>
    <x v="1"/>
    <x v="4"/>
    <x v="1"/>
    <x v="7"/>
    <x v="608"/>
    <x v="1"/>
    <x v="9"/>
    <x v="0"/>
    <n v="77880"/>
  </r>
  <r>
    <s v="CSKU05917_2ES"/>
    <x v="2"/>
    <x v="1"/>
    <x v="1"/>
    <x v="0"/>
    <x v="4"/>
    <x v="7"/>
    <x v="608"/>
    <x v="1"/>
    <x v="9"/>
    <x v="0"/>
    <n v="70040"/>
  </r>
  <r>
    <s v="CSKU05918_2ES"/>
    <x v="2"/>
    <x v="1"/>
    <x v="1"/>
    <x v="0"/>
    <x v="1"/>
    <x v="7"/>
    <x v="608"/>
    <x v="1"/>
    <x v="9"/>
    <x v="0"/>
    <n v="81840"/>
  </r>
  <r>
    <s v="CSKU05919_2ES"/>
    <x v="2"/>
    <x v="1"/>
    <x v="1"/>
    <x v="7"/>
    <x v="4"/>
    <x v="7"/>
    <x v="608"/>
    <x v="1"/>
    <x v="9"/>
    <x v="0"/>
    <n v="74020"/>
  </r>
  <r>
    <s v="CSKU05920_2ES"/>
    <x v="2"/>
    <x v="1"/>
    <x v="1"/>
    <x v="7"/>
    <x v="1"/>
    <x v="7"/>
    <x v="608"/>
    <x v="1"/>
    <x v="9"/>
    <x v="0"/>
    <n v="85820"/>
  </r>
  <r>
    <s v="CSKU05989_2ES"/>
    <x v="2"/>
    <x v="1"/>
    <x v="1"/>
    <x v="0"/>
    <x v="4"/>
    <x v="7"/>
    <x v="605"/>
    <x v="1"/>
    <x v="9"/>
    <x v="0"/>
    <n v="72380"/>
  </r>
  <r>
    <s v="CSKU05990_2ES"/>
    <x v="2"/>
    <x v="1"/>
    <x v="1"/>
    <x v="0"/>
    <x v="1"/>
    <x v="7"/>
    <x v="605"/>
    <x v="1"/>
    <x v="9"/>
    <x v="0"/>
    <n v="84460"/>
  </r>
  <r>
    <s v="CSKU05991_2ES"/>
    <x v="2"/>
    <x v="1"/>
    <x v="1"/>
    <x v="7"/>
    <x v="4"/>
    <x v="7"/>
    <x v="605"/>
    <x v="1"/>
    <x v="9"/>
    <x v="0"/>
    <n v="76360"/>
  </r>
  <r>
    <s v="CSKU05992_2ES"/>
    <x v="2"/>
    <x v="1"/>
    <x v="1"/>
    <x v="7"/>
    <x v="1"/>
    <x v="7"/>
    <x v="605"/>
    <x v="1"/>
    <x v="9"/>
    <x v="0"/>
    <n v="88440"/>
  </r>
  <r>
    <s v="CSKU05837_2ES"/>
    <x v="2"/>
    <x v="1"/>
    <x v="0"/>
    <x v="4"/>
    <x v="4"/>
    <x v="7"/>
    <x v="609"/>
    <x v="0"/>
    <x v="9"/>
    <x v="0"/>
    <n v="62460"/>
  </r>
  <r>
    <s v="CSKU05765_2ES"/>
    <x v="2"/>
    <x v="1"/>
    <x v="0"/>
    <x v="4"/>
    <x v="4"/>
    <x v="7"/>
    <x v="610"/>
    <x v="0"/>
    <x v="9"/>
    <x v="0"/>
    <n v="46200"/>
  </r>
  <r>
    <s v="CSKU05766_2ES"/>
    <x v="2"/>
    <x v="1"/>
    <x v="0"/>
    <x v="0"/>
    <x v="4"/>
    <x v="7"/>
    <x v="610"/>
    <x v="0"/>
    <x v="9"/>
    <x v="0"/>
    <n v="49730"/>
  </r>
  <r>
    <s v="CSKU05767_2ES"/>
    <x v="2"/>
    <x v="1"/>
    <x v="0"/>
    <x v="7"/>
    <x v="4"/>
    <x v="7"/>
    <x v="610"/>
    <x v="0"/>
    <x v="9"/>
    <x v="0"/>
    <n v="53300"/>
  </r>
  <r>
    <s v="CSKU05768_2ES"/>
    <x v="2"/>
    <x v="1"/>
    <x v="0"/>
    <x v="4"/>
    <x v="1"/>
    <x v="7"/>
    <x v="610"/>
    <x v="0"/>
    <x v="9"/>
    <x v="0"/>
    <n v="53900"/>
  </r>
  <r>
    <s v="CSKU05769_2ES"/>
    <x v="2"/>
    <x v="1"/>
    <x v="0"/>
    <x v="0"/>
    <x v="1"/>
    <x v="7"/>
    <x v="610"/>
    <x v="0"/>
    <x v="9"/>
    <x v="0"/>
    <n v="57430"/>
  </r>
  <r>
    <s v="CSKU05770_2ES"/>
    <x v="2"/>
    <x v="1"/>
    <x v="0"/>
    <x v="7"/>
    <x v="1"/>
    <x v="7"/>
    <x v="610"/>
    <x v="0"/>
    <x v="9"/>
    <x v="0"/>
    <n v="60980"/>
  </r>
  <r>
    <s v="CSKU05771_2ES"/>
    <x v="2"/>
    <x v="1"/>
    <x v="1"/>
    <x v="4"/>
    <x v="4"/>
    <x v="7"/>
    <x v="610"/>
    <x v="1"/>
    <x v="9"/>
    <x v="0"/>
    <n v="50460"/>
  </r>
  <r>
    <s v="CSKU05772_2ES"/>
    <x v="2"/>
    <x v="1"/>
    <x v="1"/>
    <x v="0"/>
    <x v="4"/>
    <x v="7"/>
    <x v="610"/>
    <x v="1"/>
    <x v="9"/>
    <x v="0"/>
    <n v="54420"/>
  </r>
  <r>
    <s v="CSKU05773_2ES"/>
    <x v="2"/>
    <x v="1"/>
    <x v="1"/>
    <x v="7"/>
    <x v="4"/>
    <x v="7"/>
    <x v="610"/>
    <x v="1"/>
    <x v="9"/>
    <x v="0"/>
    <n v="58400"/>
  </r>
  <r>
    <s v="CSKU05774_2ES"/>
    <x v="2"/>
    <x v="1"/>
    <x v="1"/>
    <x v="4"/>
    <x v="1"/>
    <x v="7"/>
    <x v="610"/>
    <x v="1"/>
    <x v="9"/>
    <x v="0"/>
    <n v="59000"/>
  </r>
  <r>
    <s v="CSKU05838_2ES"/>
    <x v="2"/>
    <x v="1"/>
    <x v="0"/>
    <x v="0"/>
    <x v="4"/>
    <x v="7"/>
    <x v="609"/>
    <x v="0"/>
    <x v="9"/>
    <x v="0"/>
    <n v="65990"/>
  </r>
  <r>
    <s v="CSKU05839_2ES"/>
    <x v="2"/>
    <x v="1"/>
    <x v="0"/>
    <x v="7"/>
    <x v="4"/>
    <x v="7"/>
    <x v="609"/>
    <x v="0"/>
    <x v="9"/>
    <x v="0"/>
    <n v="69560"/>
  </r>
  <r>
    <s v="CSKU05840_2ES"/>
    <x v="2"/>
    <x v="1"/>
    <x v="0"/>
    <x v="4"/>
    <x v="1"/>
    <x v="7"/>
    <x v="609"/>
    <x v="0"/>
    <x v="9"/>
    <x v="0"/>
    <n v="73420"/>
  </r>
  <r>
    <s v="CSKU05841_2ES"/>
    <x v="2"/>
    <x v="1"/>
    <x v="0"/>
    <x v="0"/>
    <x v="1"/>
    <x v="7"/>
    <x v="609"/>
    <x v="0"/>
    <x v="9"/>
    <x v="0"/>
    <n v="76950"/>
  </r>
  <r>
    <s v="CSKU05842_2ES"/>
    <x v="2"/>
    <x v="1"/>
    <x v="0"/>
    <x v="7"/>
    <x v="1"/>
    <x v="7"/>
    <x v="609"/>
    <x v="0"/>
    <x v="9"/>
    <x v="0"/>
    <n v="80500"/>
  </r>
  <r>
    <s v="CSKU05843_2ES"/>
    <x v="2"/>
    <x v="1"/>
    <x v="1"/>
    <x v="4"/>
    <x v="4"/>
    <x v="7"/>
    <x v="609"/>
    <x v="1"/>
    <x v="9"/>
    <x v="0"/>
    <n v="66080"/>
  </r>
  <r>
    <s v="CSKU05844_2ES"/>
    <x v="2"/>
    <x v="1"/>
    <x v="1"/>
    <x v="4"/>
    <x v="1"/>
    <x v="7"/>
    <x v="609"/>
    <x v="1"/>
    <x v="9"/>
    <x v="0"/>
    <n v="77880"/>
  </r>
  <r>
    <s v="CSKU05845_2ES"/>
    <x v="2"/>
    <x v="1"/>
    <x v="1"/>
    <x v="0"/>
    <x v="4"/>
    <x v="7"/>
    <x v="609"/>
    <x v="1"/>
    <x v="9"/>
    <x v="0"/>
    <n v="70040"/>
  </r>
  <r>
    <s v="CSKU05846_2ES"/>
    <x v="2"/>
    <x v="1"/>
    <x v="1"/>
    <x v="0"/>
    <x v="1"/>
    <x v="7"/>
    <x v="609"/>
    <x v="1"/>
    <x v="9"/>
    <x v="0"/>
    <n v="81840"/>
  </r>
  <r>
    <s v="CSKU05446_2ES"/>
    <x v="2"/>
    <x v="1"/>
    <x v="0"/>
    <x v="7"/>
    <x v="1"/>
    <x v="7"/>
    <x v="565"/>
    <x v="0"/>
    <x v="9"/>
    <x v="0"/>
    <n v="72140"/>
  </r>
  <r>
    <s v="CSKU05447_2ES"/>
    <x v="2"/>
    <x v="1"/>
    <x v="1"/>
    <x v="4"/>
    <x v="4"/>
    <x v="7"/>
    <x v="565"/>
    <x v="1"/>
    <x v="9"/>
    <x v="0"/>
    <n v="59820"/>
  </r>
  <r>
    <s v="CSKU05448_2ES"/>
    <x v="2"/>
    <x v="1"/>
    <x v="1"/>
    <x v="4"/>
    <x v="1"/>
    <x v="7"/>
    <x v="565"/>
    <x v="1"/>
    <x v="9"/>
    <x v="0"/>
    <n v="69520"/>
  </r>
  <r>
    <s v="CSKU05449_2ES"/>
    <x v="2"/>
    <x v="1"/>
    <x v="1"/>
    <x v="0"/>
    <x v="4"/>
    <x v="7"/>
    <x v="565"/>
    <x v="1"/>
    <x v="9"/>
    <x v="0"/>
    <n v="63780"/>
  </r>
  <r>
    <s v="CSKU05450_2ES"/>
    <x v="2"/>
    <x v="1"/>
    <x v="1"/>
    <x v="0"/>
    <x v="1"/>
    <x v="7"/>
    <x v="565"/>
    <x v="1"/>
    <x v="9"/>
    <x v="0"/>
    <n v="73480"/>
  </r>
  <r>
    <s v="CSKU05451_2ES"/>
    <x v="2"/>
    <x v="1"/>
    <x v="1"/>
    <x v="7"/>
    <x v="4"/>
    <x v="7"/>
    <x v="565"/>
    <x v="1"/>
    <x v="9"/>
    <x v="0"/>
    <n v="67760"/>
  </r>
  <r>
    <s v="CSKU05452_2ES"/>
    <x v="2"/>
    <x v="1"/>
    <x v="1"/>
    <x v="7"/>
    <x v="1"/>
    <x v="7"/>
    <x v="565"/>
    <x v="1"/>
    <x v="9"/>
    <x v="0"/>
    <n v="77460"/>
  </r>
  <r>
    <s v="CSKU05621_2ES"/>
    <x v="2"/>
    <x v="1"/>
    <x v="0"/>
    <x v="4"/>
    <x v="4"/>
    <x v="7"/>
    <x v="611"/>
    <x v="0"/>
    <x v="9"/>
    <x v="0"/>
    <n v="73400"/>
  </r>
  <r>
    <s v="CSKU05622_2ES"/>
    <x v="2"/>
    <x v="1"/>
    <x v="0"/>
    <x v="0"/>
    <x v="4"/>
    <x v="7"/>
    <x v="611"/>
    <x v="0"/>
    <x v="9"/>
    <x v="0"/>
    <n v="76930"/>
  </r>
  <r>
    <s v="CSKU05693_2ES"/>
    <x v="2"/>
    <x v="1"/>
    <x v="0"/>
    <x v="4"/>
    <x v="4"/>
    <x v="7"/>
    <x v="612"/>
    <x v="0"/>
    <x v="9"/>
    <x v="0"/>
    <n v="62460"/>
  </r>
  <r>
    <s v="CSKU05775_2ES"/>
    <x v="2"/>
    <x v="1"/>
    <x v="1"/>
    <x v="0"/>
    <x v="1"/>
    <x v="7"/>
    <x v="610"/>
    <x v="1"/>
    <x v="9"/>
    <x v="0"/>
    <n v="62960"/>
  </r>
  <r>
    <s v="CSKU05847_2ES"/>
    <x v="2"/>
    <x v="1"/>
    <x v="1"/>
    <x v="7"/>
    <x v="4"/>
    <x v="7"/>
    <x v="609"/>
    <x v="1"/>
    <x v="9"/>
    <x v="0"/>
    <n v="74020"/>
  </r>
  <r>
    <s v="CSKU05623_2ES"/>
    <x v="2"/>
    <x v="1"/>
    <x v="0"/>
    <x v="7"/>
    <x v="4"/>
    <x v="7"/>
    <x v="611"/>
    <x v="0"/>
    <x v="9"/>
    <x v="0"/>
    <n v="80500"/>
  </r>
  <r>
    <s v="CSKU05624_2ES"/>
    <x v="2"/>
    <x v="1"/>
    <x v="0"/>
    <x v="4"/>
    <x v="1"/>
    <x v="7"/>
    <x v="611"/>
    <x v="0"/>
    <x v="9"/>
    <x v="0"/>
    <n v="87020"/>
  </r>
  <r>
    <s v="CSKU05625_2ES"/>
    <x v="2"/>
    <x v="1"/>
    <x v="0"/>
    <x v="0"/>
    <x v="1"/>
    <x v="7"/>
    <x v="611"/>
    <x v="0"/>
    <x v="9"/>
    <x v="0"/>
    <n v="90550"/>
  </r>
  <r>
    <s v="CSKU05626_2ES"/>
    <x v="2"/>
    <x v="1"/>
    <x v="0"/>
    <x v="7"/>
    <x v="1"/>
    <x v="7"/>
    <x v="611"/>
    <x v="0"/>
    <x v="9"/>
    <x v="0"/>
    <n v="94100"/>
  </r>
  <r>
    <s v="CSKU05627_2ES"/>
    <x v="2"/>
    <x v="1"/>
    <x v="1"/>
    <x v="4"/>
    <x v="4"/>
    <x v="7"/>
    <x v="611"/>
    <x v="1"/>
    <x v="9"/>
    <x v="0"/>
    <n v="77020"/>
  </r>
  <r>
    <s v="CSKU05628_2ES"/>
    <x v="2"/>
    <x v="1"/>
    <x v="1"/>
    <x v="4"/>
    <x v="1"/>
    <x v="7"/>
    <x v="611"/>
    <x v="1"/>
    <x v="9"/>
    <x v="0"/>
    <n v="91480"/>
  </r>
  <r>
    <s v="CSKU05629_2ES"/>
    <x v="2"/>
    <x v="1"/>
    <x v="1"/>
    <x v="0"/>
    <x v="4"/>
    <x v="7"/>
    <x v="611"/>
    <x v="1"/>
    <x v="9"/>
    <x v="0"/>
    <n v="80980"/>
  </r>
  <r>
    <s v="CSKU05630_2ES"/>
    <x v="2"/>
    <x v="1"/>
    <x v="1"/>
    <x v="0"/>
    <x v="1"/>
    <x v="7"/>
    <x v="611"/>
    <x v="1"/>
    <x v="9"/>
    <x v="0"/>
    <n v="95440"/>
  </r>
  <r>
    <s v="CSKU05694_2ES"/>
    <x v="2"/>
    <x v="1"/>
    <x v="0"/>
    <x v="0"/>
    <x v="4"/>
    <x v="7"/>
    <x v="612"/>
    <x v="0"/>
    <x v="9"/>
    <x v="0"/>
    <n v="65990"/>
  </r>
  <r>
    <s v="CSKU05695_2ES"/>
    <x v="2"/>
    <x v="1"/>
    <x v="0"/>
    <x v="7"/>
    <x v="4"/>
    <x v="7"/>
    <x v="612"/>
    <x v="0"/>
    <x v="9"/>
    <x v="0"/>
    <n v="69560"/>
  </r>
  <r>
    <s v="CSKU05696_2ES"/>
    <x v="2"/>
    <x v="1"/>
    <x v="0"/>
    <x v="4"/>
    <x v="1"/>
    <x v="7"/>
    <x v="612"/>
    <x v="0"/>
    <x v="9"/>
    <x v="0"/>
    <n v="73420"/>
  </r>
  <r>
    <s v="CSKU05697_2ES"/>
    <x v="2"/>
    <x v="1"/>
    <x v="0"/>
    <x v="0"/>
    <x v="1"/>
    <x v="7"/>
    <x v="612"/>
    <x v="0"/>
    <x v="9"/>
    <x v="0"/>
    <n v="76950"/>
  </r>
  <r>
    <s v="CSKU05698_2ES"/>
    <x v="2"/>
    <x v="1"/>
    <x v="0"/>
    <x v="7"/>
    <x v="1"/>
    <x v="7"/>
    <x v="612"/>
    <x v="0"/>
    <x v="9"/>
    <x v="0"/>
    <n v="80500"/>
  </r>
  <r>
    <s v="CSKU05699_2ES"/>
    <x v="2"/>
    <x v="1"/>
    <x v="1"/>
    <x v="4"/>
    <x v="4"/>
    <x v="7"/>
    <x v="612"/>
    <x v="1"/>
    <x v="9"/>
    <x v="0"/>
    <n v="66080"/>
  </r>
  <r>
    <s v="CSKU05700_2ES"/>
    <x v="2"/>
    <x v="1"/>
    <x v="1"/>
    <x v="4"/>
    <x v="1"/>
    <x v="7"/>
    <x v="612"/>
    <x v="1"/>
    <x v="9"/>
    <x v="0"/>
    <n v="77880"/>
  </r>
  <r>
    <s v="CSKU05701_2ES"/>
    <x v="2"/>
    <x v="1"/>
    <x v="1"/>
    <x v="0"/>
    <x v="4"/>
    <x v="7"/>
    <x v="612"/>
    <x v="1"/>
    <x v="9"/>
    <x v="0"/>
    <n v="70040"/>
  </r>
  <r>
    <s v="CSKU05702_2ES"/>
    <x v="2"/>
    <x v="1"/>
    <x v="1"/>
    <x v="0"/>
    <x v="1"/>
    <x v="7"/>
    <x v="612"/>
    <x v="1"/>
    <x v="9"/>
    <x v="0"/>
    <n v="81840"/>
  </r>
  <r>
    <s v="CSKU05776_2ES"/>
    <x v="2"/>
    <x v="1"/>
    <x v="1"/>
    <x v="7"/>
    <x v="1"/>
    <x v="7"/>
    <x v="610"/>
    <x v="1"/>
    <x v="9"/>
    <x v="0"/>
    <n v="66940"/>
  </r>
  <r>
    <s v="CSKU05848_2ES"/>
    <x v="2"/>
    <x v="1"/>
    <x v="1"/>
    <x v="7"/>
    <x v="1"/>
    <x v="7"/>
    <x v="609"/>
    <x v="1"/>
    <x v="9"/>
    <x v="0"/>
    <n v="85820"/>
  </r>
  <r>
    <s v="CSKU05631_2ES"/>
    <x v="2"/>
    <x v="1"/>
    <x v="1"/>
    <x v="7"/>
    <x v="4"/>
    <x v="7"/>
    <x v="611"/>
    <x v="1"/>
    <x v="9"/>
    <x v="0"/>
    <n v="84960"/>
  </r>
  <r>
    <s v="CSKU05703_2ES"/>
    <x v="2"/>
    <x v="1"/>
    <x v="1"/>
    <x v="7"/>
    <x v="4"/>
    <x v="7"/>
    <x v="612"/>
    <x v="1"/>
    <x v="9"/>
    <x v="0"/>
    <n v="74020"/>
  </r>
  <r>
    <s v="CSKU05549_2ES"/>
    <x v="2"/>
    <x v="1"/>
    <x v="0"/>
    <x v="4"/>
    <x v="4"/>
    <x v="7"/>
    <x v="613"/>
    <x v="0"/>
    <x v="9"/>
    <x v="0"/>
    <n v="57140"/>
  </r>
  <r>
    <s v="CSKU05550_2ES"/>
    <x v="2"/>
    <x v="1"/>
    <x v="0"/>
    <x v="0"/>
    <x v="4"/>
    <x v="7"/>
    <x v="613"/>
    <x v="0"/>
    <x v="9"/>
    <x v="0"/>
    <n v="60670"/>
  </r>
  <r>
    <s v="CSKU05551_2ES"/>
    <x v="2"/>
    <x v="1"/>
    <x v="0"/>
    <x v="7"/>
    <x v="4"/>
    <x v="7"/>
    <x v="613"/>
    <x v="0"/>
    <x v="9"/>
    <x v="0"/>
    <n v="64240"/>
  </r>
  <r>
    <s v="CSKU05632_2ES"/>
    <x v="2"/>
    <x v="1"/>
    <x v="1"/>
    <x v="7"/>
    <x v="1"/>
    <x v="7"/>
    <x v="611"/>
    <x v="1"/>
    <x v="9"/>
    <x v="0"/>
    <n v="99420"/>
  </r>
  <r>
    <s v="CSKU05704_2ES"/>
    <x v="2"/>
    <x v="1"/>
    <x v="1"/>
    <x v="7"/>
    <x v="1"/>
    <x v="7"/>
    <x v="612"/>
    <x v="1"/>
    <x v="9"/>
    <x v="0"/>
    <n v="85820"/>
  </r>
  <r>
    <s v="CSKU05153_2ES"/>
    <x v="2"/>
    <x v="1"/>
    <x v="0"/>
    <x v="4"/>
    <x v="4"/>
    <x v="7"/>
    <x v="614"/>
    <x v="0"/>
    <x v="9"/>
    <x v="0"/>
    <n v="64800"/>
  </r>
  <r>
    <s v="CSKU05154_2ES"/>
    <x v="2"/>
    <x v="1"/>
    <x v="0"/>
    <x v="0"/>
    <x v="4"/>
    <x v="7"/>
    <x v="614"/>
    <x v="0"/>
    <x v="9"/>
    <x v="0"/>
    <n v="68330"/>
  </r>
  <r>
    <s v="CSKU05155_2ES"/>
    <x v="2"/>
    <x v="1"/>
    <x v="0"/>
    <x v="7"/>
    <x v="4"/>
    <x v="7"/>
    <x v="614"/>
    <x v="0"/>
    <x v="9"/>
    <x v="0"/>
    <n v="71900"/>
  </r>
  <r>
    <s v="CSKU05156_2ES"/>
    <x v="2"/>
    <x v="1"/>
    <x v="0"/>
    <x v="4"/>
    <x v="1"/>
    <x v="7"/>
    <x v="614"/>
    <x v="0"/>
    <x v="9"/>
    <x v="0"/>
    <n v="76040"/>
  </r>
  <r>
    <s v="CSKU05157_2ES"/>
    <x v="2"/>
    <x v="1"/>
    <x v="0"/>
    <x v="0"/>
    <x v="1"/>
    <x v="7"/>
    <x v="614"/>
    <x v="0"/>
    <x v="9"/>
    <x v="0"/>
    <n v="79570"/>
  </r>
  <r>
    <s v="CSKU05158_2ES"/>
    <x v="2"/>
    <x v="1"/>
    <x v="0"/>
    <x v="7"/>
    <x v="1"/>
    <x v="7"/>
    <x v="614"/>
    <x v="0"/>
    <x v="9"/>
    <x v="0"/>
    <n v="83120"/>
  </r>
  <r>
    <s v="CSKU05159_2ES"/>
    <x v="2"/>
    <x v="1"/>
    <x v="1"/>
    <x v="4"/>
    <x v="4"/>
    <x v="7"/>
    <x v="614"/>
    <x v="1"/>
    <x v="9"/>
    <x v="0"/>
    <n v="68420"/>
  </r>
  <r>
    <s v="CSKU05194_2ES"/>
    <x v="2"/>
    <x v="1"/>
    <x v="0"/>
    <x v="7"/>
    <x v="1"/>
    <x v="7"/>
    <x v="17"/>
    <x v="0"/>
    <x v="9"/>
    <x v="0"/>
    <n v="83120"/>
  </r>
  <r>
    <s v="CSKU05552_2ES"/>
    <x v="2"/>
    <x v="1"/>
    <x v="0"/>
    <x v="4"/>
    <x v="1"/>
    <x v="7"/>
    <x v="613"/>
    <x v="0"/>
    <x v="9"/>
    <x v="0"/>
    <n v="67500"/>
  </r>
  <r>
    <s v="CSKU05369_2ES"/>
    <x v="2"/>
    <x v="1"/>
    <x v="0"/>
    <x v="4"/>
    <x v="4"/>
    <x v="7"/>
    <x v="615"/>
    <x v="0"/>
    <x v="9"/>
    <x v="0"/>
    <n v="64800"/>
  </r>
  <r>
    <s v="CSKU05370_2ES"/>
    <x v="2"/>
    <x v="1"/>
    <x v="0"/>
    <x v="0"/>
    <x v="4"/>
    <x v="7"/>
    <x v="615"/>
    <x v="0"/>
    <x v="9"/>
    <x v="0"/>
    <n v="68330"/>
  </r>
  <r>
    <s v="CSKU05371_2ES"/>
    <x v="2"/>
    <x v="1"/>
    <x v="0"/>
    <x v="7"/>
    <x v="4"/>
    <x v="7"/>
    <x v="615"/>
    <x v="0"/>
    <x v="9"/>
    <x v="0"/>
    <n v="71900"/>
  </r>
  <r>
    <s v="CSKU05372_2ES"/>
    <x v="2"/>
    <x v="1"/>
    <x v="0"/>
    <x v="4"/>
    <x v="1"/>
    <x v="7"/>
    <x v="615"/>
    <x v="0"/>
    <x v="9"/>
    <x v="0"/>
    <n v="76040"/>
  </r>
  <r>
    <s v="CSKU05373_2ES"/>
    <x v="2"/>
    <x v="1"/>
    <x v="0"/>
    <x v="0"/>
    <x v="1"/>
    <x v="7"/>
    <x v="615"/>
    <x v="0"/>
    <x v="9"/>
    <x v="0"/>
    <n v="79570"/>
  </r>
  <r>
    <s v="CSKU05553_2ES"/>
    <x v="2"/>
    <x v="1"/>
    <x v="0"/>
    <x v="0"/>
    <x v="1"/>
    <x v="7"/>
    <x v="613"/>
    <x v="0"/>
    <x v="9"/>
    <x v="0"/>
    <n v="71030"/>
  </r>
  <r>
    <s v="CSKU05554_2ES"/>
    <x v="2"/>
    <x v="1"/>
    <x v="0"/>
    <x v="7"/>
    <x v="1"/>
    <x v="7"/>
    <x v="613"/>
    <x v="0"/>
    <x v="9"/>
    <x v="0"/>
    <n v="74580"/>
  </r>
  <r>
    <s v="CSKU05555_2ES"/>
    <x v="2"/>
    <x v="1"/>
    <x v="1"/>
    <x v="4"/>
    <x v="4"/>
    <x v="7"/>
    <x v="613"/>
    <x v="1"/>
    <x v="9"/>
    <x v="0"/>
    <n v="61400"/>
  </r>
  <r>
    <s v="CSKU05556_2ES"/>
    <x v="2"/>
    <x v="1"/>
    <x v="1"/>
    <x v="0"/>
    <x v="4"/>
    <x v="7"/>
    <x v="613"/>
    <x v="1"/>
    <x v="9"/>
    <x v="0"/>
    <n v="65360"/>
  </r>
  <r>
    <s v="CSKU05557_2ES"/>
    <x v="2"/>
    <x v="1"/>
    <x v="1"/>
    <x v="7"/>
    <x v="4"/>
    <x v="7"/>
    <x v="613"/>
    <x v="1"/>
    <x v="9"/>
    <x v="0"/>
    <n v="69340"/>
  </r>
  <r>
    <s v="CSKU05558_2ES"/>
    <x v="2"/>
    <x v="1"/>
    <x v="1"/>
    <x v="4"/>
    <x v="1"/>
    <x v="7"/>
    <x v="613"/>
    <x v="1"/>
    <x v="9"/>
    <x v="0"/>
    <n v="72600"/>
  </r>
  <r>
    <s v="CSKU05559_2ES"/>
    <x v="2"/>
    <x v="1"/>
    <x v="1"/>
    <x v="0"/>
    <x v="1"/>
    <x v="7"/>
    <x v="613"/>
    <x v="1"/>
    <x v="9"/>
    <x v="0"/>
    <n v="76560"/>
  </r>
  <r>
    <s v="CSKU05560_2ES"/>
    <x v="2"/>
    <x v="1"/>
    <x v="1"/>
    <x v="7"/>
    <x v="1"/>
    <x v="7"/>
    <x v="613"/>
    <x v="1"/>
    <x v="9"/>
    <x v="0"/>
    <n v="80540"/>
  </r>
  <r>
    <s v="CSKU05374_2ES"/>
    <x v="2"/>
    <x v="1"/>
    <x v="0"/>
    <x v="7"/>
    <x v="1"/>
    <x v="7"/>
    <x v="615"/>
    <x v="0"/>
    <x v="9"/>
    <x v="0"/>
    <n v="83120"/>
  </r>
  <r>
    <s v="CSKU05375_2ES"/>
    <x v="2"/>
    <x v="1"/>
    <x v="1"/>
    <x v="4"/>
    <x v="4"/>
    <x v="7"/>
    <x v="615"/>
    <x v="1"/>
    <x v="9"/>
    <x v="0"/>
    <n v="68420"/>
  </r>
  <r>
    <s v="CSKU05376_2ES"/>
    <x v="2"/>
    <x v="1"/>
    <x v="1"/>
    <x v="4"/>
    <x v="1"/>
    <x v="7"/>
    <x v="615"/>
    <x v="1"/>
    <x v="9"/>
    <x v="0"/>
    <n v="80500"/>
  </r>
  <r>
    <s v="CSKU05377_2ES"/>
    <x v="2"/>
    <x v="1"/>
    <x v="1"/>
    <x v="0"/>
    <x v="4"/>
    <x v="7"/>
    <x v="615"/>
    <x v="1"/>
    <x v="9"/>
    <x v="0"/>
    <n v="72380"/>
  </r>
  <r>
    <s v="CSKU05378_2ES"/>
    <x v="2"/>
    <x v="1"/>
    <x v="1"/>
    <x v="0"/>
    <x v="1"/>
    <x v="7"/>
    <x v="615"/>
    <x v="1"/>
    <x v="9"/>
    <x v="0"/>
    <n v="84460"/>
  </r>
  <r>
    <s v="CSKU05379_2ES"/>
    <x v="2"/>
    <x v="1"/>
    <x v="1"/>
    <x v="7"/>
    <x v="4"/>
    <x v="7"/>
    <x v="615"/>
    <x v="1"/>
    <x v="9"/>
    <x v="0"/>
    <n v="76360"/>
  </r>
  <r>
    <s v="CSKU05380_2ES"/>
    <x v="2"/>
    <x v="1"/>
    <x v="1"/>
    <x v="7"/>
    <x v="1"/>
    <x v="7"/>
    <x v="615"/>
    <x v="1"/>
    <x v="9"/>
    <x v="0"/>
    <n v="88440"/>
  </r>
  <r>
    <s v="CSKU05477_2ES"/>
    <x v="2"/>
    <x v="1"/>
    <x v="0"/>
    <x v="4"/>
    <x v="4"/>
    <x v="7"/>
    <x v="616"/>
    <x v="0"/>
    <x v="9"/>
    <x v="0"/>
    <n v="64800"/>
  </r>
  <r>
    <s v="CSKU05478_2ES"/>
    <x v="2"/>
    <x v="1"/>
    <x v="0"/>
    <x v="0"/>
    <x v="4"/>
    <x v="7"/>
    <x v="616"/>
    <x v="0"/>
    <x v="9"/>
    <x v="0"/>
    <n v="68330"/>
  </r>
  <r>
    <s v="CSKU05479_2ES"/>
    <x v="2"/>
    <x v="1"/>
    <x v="0"/>
    <x v="7"/>
    <x v="4"/>
    <x v="7"/>
    <x v="616"/>
    <x v="0"/>
    <x v="9"/>
    <x v="0"/>
    <n v="71900"/>
  </r>
  <r>
    <s v="CSKU05480_2ES"/>
    <x v="2"/>
    <x v="1"/>
    <x v="0"/>
    <x v="4"/>
    <x v="1"/>
    <x v="7"/>
    <x v="616"/>
    <x v="0"/>
    <x v="9"/>
    <x v="0"/>
    <n v="76040"/>
  </r>
  <r>
    <s v="CSKU05481_2ES"/>
    <x v="2"/>
    <x v="1"/>
    <x v="0"/>
    <x v="0"/>
    <x v="1"/>
    <x v="7"/>
    <x v="616"/>
    <x v="0"/>
    <x v="9"/>
    <x v="0"/>
    <n v="79570"/>
  </r>
  <r>
    <s v="CSKU05482_2ES"/>
    <x v="2"/>
    <x v="1"/>
    <x v="0"/>
    <x v="7"/>
    <x v="1"/>
    <x v="7"/>
    <x v="616"/>
    <x v="0"/>
    <x v="9"/>
    <x v="0"/>
    <n v="83120"/>
  </r>
  <r>
    <s v="CSKU05483_2ES"/>
    <x v="2"/>
    <x v="1"/>
    <x v="1"/>
    <x v="4"/>
    <x v="4"/>
    <x v="7"/>
    <x v="616"/>
    <x v="1"/>
    <x v="9"/>
    <x v="0"/>
    <n v="68420"/>
  </r>
  <r>
    <s v="CSKU04793_2ES"/>
    <x v="2"/>
    <x v="1"/>
    <x v="0"/>
    <x v="4"/>
    <x v="4"/>
    <x v="7"/>
    <x v="617"/>
    <x v="0"/>
    <x v="9"/>
    <x v="0"/>
    <n v="73400"/>
  </r>
  <r>
    <s v="CSKU04794_2ES"/>
    <x v="2"/>
    <x v="1"/>
    <x v="0"/>
    <x v="0"/>
    <x v="4"/>
    <x v="7"/>
    <x v="617"/>
    <x v="0"/>
    <x v="9"/>
    <x v="0"/>
    <n v="76930"/>
  </r>
  <r>
    <s v="CSKU04795_2ES"/>
    <x v="2"/>
    <x v="1"/>
    <x v="0"/>
    <x v="7"/>
    <x v="4"/>
    <x v="7"/>
    <x v="617"/>
    <x v="0"/>
    <x v="9"/>
    <x v="0"/>
    <n v="80500"/>
  </r>
  <r>
    <s v="CSKU04796_2ES"/>
    <x v="2"/>
    <x v="1"/>
    <x v="0"/>
    <x v="4"/>
    <x v="1"/>
    <x v="7"/>
    <x v="617"/>
    <x v="0"/>
    <x v="9"/>
    <x v="0"/>
    <n v="87020"/>
  </r>
  <r>
    <s v="CSKU04797_2ES"/>
    <x v="2"/>
    <x v="1"/>
    <x v="0"/>
    <x v="0"/>
    <x v="1"/>
    <x v="7"/>
    <x v="617"/>
    <x v="0"/>
    <x v="9"/>
    <x v="0"/>
    <n v="90550"/>
  </r>
  <r>
    <s v="CSKU04798_2ES"/>
    <x v="2"/>
    <x v="1"/>
    <x v="0"/>
    <x v="7"/>
    <x v="1"/>
    <x v="7"/>
    <x v="617"/>
    <x v="0"/>
    <x v="9"/>
    <x v="0"/>
    <n v="94100"/>
  </r>
  <r>
    <s v="CSKU04799_2ES"/>
    <x v="2"/>
    <x v="1"/>
    <x v="1"/>
    <x v="4"/>
    <x v="4"/>
    <x v="7"/>
    <x v="617"/>
    <x v="1"/>
    <x v="9"/>
    <x v="0"/>
    <n v="77020"/>
  </r>
  <r>
    <s v="CSKU04800_2ES"/>
    <x v="2"/>
    <x v="1"/>
    <x v="1"/>
    <x v="4"/>
    <x v="1"/>
    <x v="7"/>
    <x v="617"/>
    <x v="1"/>
    <x v="9"/>
    <x v="0"/>
    <n v="91480"/>
  </r>
  <r>
    <s v="CSKU05160_2ES"/>
    <x v="2"/>
    <x v="1"/>
    <x v="1"/>
    <x v="4"/>
    <x v="1"/>
    <x v="7"/>
    <x v="614"/>
    <x v="1"/>
    <x v="9"/>
    <x v="0"/>
    <n v="80500"/>
  </r>
  <r>
    <s v="CSKU05484_2ES"/>
    <x v="2"/>
    <x v="1"/>
    <x v="1"/>
    <x v="4"/>
    <x v="1"/>
    <x v="7"/>
    <x v="616"/>
    <x v="1"/>
    <x v="9"/>
    <x v="0"/>
    <n v="80500"/>
  </r>
  <r>
    <s v="CSKU05045_2ES"/>
    <x v="2"/>
    <x v="1"/>
    <x v="0"/>
    <x v="4"/>
    <x v="4"/>
    <x v="7"/>
    <x v="618"/>
    <x v="0"/>
    <x v="9"/>
    <x v="0"/>
    <n v="147880"/>
  </r>
  <r>
    <s v="CSKU05046_2ES"/>
    <x v="2"/>
    <x v="1"/>
    <x v="0"/>
    <x v="0"/>
    <x v="4"/>
    <x v="7"/>
    <x v="618"/>
    <x v="0"/>
    <x v="9"/>
    <x v="0"/>
    <n v="43240"/>
  </r>
  <r>
    <s v="CSKU05047_2ES"/>
    <x v="2"/>
    <x v="1"/>
    <x v="0"/>
    <x v="7"/>
    <x v="4"/>
    <x v="7"/>
    <x v="618"/>
    <x v="0"/>
    <x v="9"/>
    <x v="0"/>
    <n v="80500"/>
  </r>
  <r>
    <s v="CSKU05048_2ES"/>
    <x v="2"/>
    <x v="1"/>
    <x v="0"/>
    <x v="4"/>
    <x v="1"/>
    <x v="7"/>
    <x v="618"/>
    <x v="0"/>
    <x v="9"/>
    <x v="0"/>
    <n v="87020"/>
  </r>
  <r>
    <s v="CSKU05049_2ES"/>
    <x v="2"/>
    <x v="1"/>
    <x v="0"/>
    <x v="0"/>
    <x v="1"/>
    <x v="7"/>
    <x v="618"/>
    <x v="0"/>
    <x v="9"/>
    <x v="0"/>
    <n v="49760"/>
  </r>
  <r>
    <s v="CSKU05050_2ES"/>
    <x v="2"/>
    <x v="1"/>
    <x v="0"/>
    <x v="7"/>
    <x v="1"/>
    <x v="7"/>
    <x v="618"/>
    <x v="0"/>
    <x v="9"/>
    <x v="0"/>
    <n v="94100"/>
  </r>
  <r>
    <s v="CSKU05051_2ES"/>
    <x v="2"/>
    <x v="1"/>
    <x v="1"/>
    <x v="4"/>
    <x v="4"/>
    <x v="7"/>
    <x v="618"/>
    <x v="1"/>
    <x v="9"/>
    <x v="0"/>
    <n v="77020"/>
  </r>
  <r>
    <s v="CSKU05052_2ES"/>
    <x v="2"/>
    <x v="1"/>
    <x v="1"/>
    <x v="4"/>
    <x v="1"/>
    <x v="7"/>
    <x v="618"/>
    <x v="1"/>
    <x v="9"/>
    <x v="0"/>
    <n v="91480"/>
  </r>
  <r>
    <s v="CSKU05053_2ES"/>
    <x v="2"/>
    <x v="1"/>
    <x v="1"/>
    <x v="0"/>
    <x v="4"/>
    <x v="7"/>
    <x v="618"/>
    <x v="1"/>
    <x v="9"/>
    <x v="0"/>
    <n v="80980"/>
  </r>
  <r>
    <s v="CSKU05161_2ES"/>
    <x v="2"/>
    <x v="1"/>
    <x v="1"/>
    <x v="0"/>
    <x v="4"/>
    <x v="7"/>
    <x v="614"/>
    <x v="1"/>
    <x v="9"/>
    <x v="0"/>
    <n v="72380"/>
  </r>
  <r>
    <s v="CSKU05162_2ES"/>
    <x v="2"/>
    <x v="1"/>
    <x v="1"/>
    <x v="0"/>
    <x v="1"/>
    <x v="7"/>
    <x v="614"/>
    <x v="1"/>
    <x v="9"/>
    <x v="0"/>
    <n v="84460"/>
  </r>
  <r>
    <s v="CSKU05163_2ES"/>
    <x v="2"/>
    <x v="1"/>
    <x v="1"/>
    <x v="7"/>
    <x v="4"/>
    <x v="7"/>
    <x v="614"/>
    <x v="1"/>
    <x v="9"/>
    <x v="0"/>
    <n v="76360"/>
  </r>
  <r>
    <s v="CSKU05164_2ES"/>
    <x v="2"/>
    <x v="1"/>
    <x v="1"/>
    <x v="7"/>
    <x v="1"/>
    <x v="7"/>
    <x v="614"/>
    <x v="1"/>
    <x v="9"/>
    <x v="0"/>
    <n v="88440"/>
  </r>
  <r>
    <s v="CSKU05261_2ES"/>
    <x v="2"/>
    <x v="1"/>
    <x v="0"/>
    <x v="4"/>
    <x v="4"/>
    <x v="7"/>
    <x v="619"/>
    <x v="0"/>
    <x v="9"/>
    <x v="0"/>
    <n v="48540"/>
  </r>
  <r>
    <s v="CSKU05262_2ES"/>
    <x v="2"/>
    <x v="1"/>
    <x v="0"/>
    <x v="0"/>
    <x v="4"/>
    <x v="7"/>
    <x v="619"/>
    <x v="0"/>
    <x v="9"/>
    <x v="0"/>
    <n v="52070"/>
  </r>
  <r>
    <s v="CSKU05263_2ES"/>
    <x v="2"/>
    <x v="1"/>
    <x v="0"/>
    <x v="7"/>
    <x v="4"/>
    <x v="7"/>
    <x v="619"/>
    <x v="0"/>
    <x v="9"/>
    <x v="0"/>
    <n v="55640"/>
  </r>
  <r>
    <s v="CSKU05264_2ES"/>
    <x v="2"/>
    <x v="1"/>
    <x v="0"/>
    <x v="4"/>
    <x v="1"/>
    <x v="7"/>
    <x v="619"/>
    <x v="0"/>
    <x v="9"/>
    <x v="0"/>
    <n v="56520"/>
  </r>
  <r>
    <s v="CSKU05265_2ES"/>
    <x v="2"/>
    <x v="1"/>
    <x v="0"/>
    <x v="0"/>
    <x v="1"/>
    <x v="7"/>
    <x v="619"/>
    <x v="0"/>
    <x v="9"/>
    <x v="0"/>
    <n v="60050"/>
  </r>
  <r>
    <s v="CSKU05266_2ES"/>
    <x v="2"/>
    <x v="1"/>
    <x v="0"/>
    <x v="7"/>
    <x v="1"/>
    <x v="7"/>
    <x v="619"/>
    <x v="0"/>
    <x v="9"/>
    <x v="0"/>
    <n v="63600"/>
  </r>
  <r>
    <s v="CSKU05054_2ES"/>
    <x v="2"/>
    <x v="1"/>
    <x v="1"/>
    <x v="0"/>
    <x v="1"/>
    <x v="7"/>
    <x v="618"/>
    <x v="1"/>
    <x v="9"/>
    <x v="0"/>
    <n v="95440"/>
  </r>
  <r>
    <s v="CSKU05267_2ES"/>
    <x v="2"/>
    <x v="1"/>
    <x v="1"/>
    <x v="4"/>
    <x v="4"/>
    <x v="7"/>
    <x v="619"/>
    <x v="1"/>
    <x v="9"/>
    <x v="0"/>
    <n v="52800"/>
  </r>
  <r>
    <s v="CSKU05485_2ES"/>
    <x v="2"/>
    <x v="1"/>
    <x v="1"/>
    <x v="0"/>
    <x v="4"/>
    <x v="7"/>
    <x v="616"/>
    <x v="1"/>
    <x v="9"/>
    <x v="0"/>
    <n v="72380"/>
  </r>
  <r>
    <s v="CSKU05486_2ES"/>
    <x v="2"/>
    <x v="1"/>
    <x v="1"/>
    <x v="0"/>
    <x v="1"/>
    <x v="7"/>
    <x v="616"/>
    <x v="1"/>
    <x v="9"/>
    <x v="0"/>
    <n v="84460"/>
  </r>
  <r>
    <s v="CSKU05487_2ES"/>
    <x v="2"/>
    <x v="1"/>
    <x v="1"/>
    <x v="7"/>
    <x v="4"/>
    <x v="7"/>
    <x v="616"/>
    <x v="1"/>
    <x v="9"/>
    <x v="0"/>
    <n v="76360"/>
  </r>
  <r>
    <s v="CSKU05488_2ES"/>
    <x v="2"/>
    <x v="1"/>
    <x v="1"/>
    <x v="7"/>
    <x v="1"/>
    <x v="7"/>
    <x v="616"/>
    <x v="1"/>
    <x v="9"/>
    <x v="0"/>
    <n v="88440"/>
  </r>
  <r>
    <s v="CSKU04937_2ES"/>
    <x v="2"/>
    <x v="1"/>
    <x v="0"/>
    <x v="4"/>
    <x v="4"/>
    <x v="7"/>
    <x v="620"/>
    <x v="0"/>
    <x v="9"/>
    <x v="0"/>
    <n v="40880"/>
  </r>
  <r>
    <s v="CSKU04938_2ES"/>
    <x v="2"/>
    <x v="1"/>
    <x v="0"/>
    <x v="0"/>
    <x v="4"/>
    <x v="7"/>
    <x v="620"/>
    <x v="0"/>
    <x v="9"/>
    <x v="0"/>
    <n v="44410"/>
  </r>
  <r>
    <s v="CSKU04939_2ES"/>
    <x v="2"/>
    <x v="1"/>
    <x v="0"/>
    <x v="7"/>
    <x v="4"/>
    <x v="7"/>
    <x v="620"/>
    <x v="0"/>
    <x v="9"/>
    <x v="0"/>
    <n v="47980"/>
  </r>
  <r>
    <s v="CSKU04940_2ES"/>
    <x v="2"/>
    <x v="1"/>
    <x v="0"/>
    <x v="4"/>
    <x v="1"/>
    <x v="7"/>
    <x v="620"/>
    <x v="0"/>
    <x v="9"/>
    <x v="0"/>
    <n v="47980"/>
  </r>
  <r>
    <s v="CSKU04941_2ES"/>
    <x v="2"/>
    <x v="1"/>
    <x v="0"/>
    <x v="0"/>
    <x v="1"/>
    <x v="7"/>
    <x v="620"/>
    <x v="0"/>
    <x v="9"/>
    <x v="0"/>
    <n v="51510"/>
  </r>
  <r>
    <s v="CSKU04942_2ES"/>
    <x v="2"/>
    <x v="1"/>
    <x v="0"/>
    <x v="7"/>
    <x v="1"/>
    <x v="7"/>
    <x v="620"/>
    <x v="0"/>
    <x v="9"/>
    <x v="0"/>
    <n v="55060"/>
  </r>
  <r>
    <s v="CSKU05055_2ES"/>
    <x v="2"/>
    <x v="1"/>
    <x v="1"/>
    <x v="7"/>
    <x v="4"/>
    <x v="7"/>
    <x v="618"/>
    <x v="1"/>
    <x v="9"/>
    <x v="0"/>
    <n v="84960"/>
  </r>
  <r>
    <s v="CSKU05056_2ES"/>
    <x v="2"/>
    <x v="1"/>
    <x v="1"/>
    <x v="7"/>
    <x v="1"/>
    <x v="7"/>
    <x v="618"/>
    <x v="1"/>
    <x v="9"/>
    <x v="0"/>
    <n v="99420"/>
  </r>
  <r>
    <s v="CSKU05268_2ES"/>
    <x v="2"/>
    <x v="1"/>
    <x v="1"/>
    <x v="0"/>
    <x v="4"/>
    <x v="7"/>
    <x v="619"/>
    <x v="1"/>
    <x v="9"/>
    <x v="0"/>
    <n v="56760"/>
  </r>
  <r>
    <s v="CSKU05269_2ES"/>
    <x v="2"/>
    <x v="1"/>
    <x v="1"/>
    <x v="7"/>
    <x v="4"/>
    <x v="7"/>
    <x v="619"/>
    <x v="1"/>
    <x v="9"/>
    <x v="0"/>
    <n v="60740"/>
  </r>
  <r>
    <s v="CSKU05270_2ES"/>
    <x v="2"/>
    <x v="1"/>
    <x v="1"/>
    <x v="4"/>
    <x v="1"/>
    <x v="7"/>
    <x v="619"/>
    <x v="1"/>
    <x v="9"/>
    <x v="0"/>
    <n v="61620"/>
  </r>
  <r>
    <s v="CSKU05271_2ES"/>
    <x v="2"/>
    <x v="1"/>
    <x v="1"/>
    <x v="0"/>
    <x v="1"/>
    <x v="7"/>
    <x v="619"/>
    <x v="1"/>
    <x v="9"/>
    <x v="0"/>
    <n v="65580"/>
  </r>
  <r>
    <s v="CSKU05272_2ES"/>
    <x v="2"/>
    <x v="1"/>
    <x v="1"/>
    <x v="7"/>
    <x v="1"/>
    <x v="7"/>
    <x v="619"/>
    <x v="1"/>
    <x v="9"/>
    <x v="0"/>
    <n v="69560"/>
  </r>
  <r>
    <s v="CSKU04448_3EK"/>
    <x v="1"/>
    <x v="0"/>
    <x v="1"/>
    <x v="0"/>
    <x v="1"/>
    <x v="1"/>
    <x v="536"/>
    <x v="1"/>
    <x v="8"/>
    <x v="0"/>
    <n v="35110"/>
  </r>
  <r>
    <s v="CSKU04449_3EK"/>
    <x v="1"/>
    <x v="0"/>
    <x v="1"/>
    <x v="6"/>
    <x v="4"/>
    <x v="6"/>
    <x v="536"/>
    <x v="1"/>
    <x v="7"/>
    <x v="0"/>
    <n v="33950"/>
  </r>
  <r>
    <s v="CSKU04450_3EK"/>
    <x v="1"/>
    <x v="0"/>
    <x v="1"/>
    <x v="6"/>
    <x v="4"/>
    <x v="1"/>
    <x v="536"/>
    <x v="1"/>
    <x v="8"/>
    <x v="0"/>
    <n v="37160"/>
  </r>
  <r>
    <s v="CSKU04451_3EK"/>
    <x v="1"/>
    <x v="0"/>
    <x v="1"/>
    <x v="6"/>
    <x v="1"/>
    <x v="6"/>
    <x v="536"/>
    <x v="1"/>
    <x v="7"/>
    <x v="0"/>
    <n v="36160"/>
  </r>
  <r>
    <s v="CSKU04452_3EK"/>
    <x v="1"/>
    <x v="0"/>
    <x v="1"/>
    <x v="6"/>
    <x v="1"/>
    <x v="1"/>
    <x v="536"/>
    <x v="1"/>
    <x v="8"/>
    <x v="0"/>
    <n v="40630"/>
  </r>
  <r>
    <s v="CSKU04453_3EK"/>
    <x v="1"/>
    <x v="0"/>
    <x v="1"/>
    <x v="2"/>
    <x v="4"/>
    <x v="6"/>
    <x v="536"/>
    <x v="1"/>
    <x v="7"/>
    <x v="0"/>
    <n v="38870"/>
  </r>
  <r>
    <s v="CSKU04454_3EK"/>
    <x v="1"/>
    <x v="0"/>
    <x v="1"/>
    <x v="2"/>
    <x v="4"/>
    <x v="1"/>
    <x v="536"/>
    <x v="1"/>
    <x v="8"/>
    <x v="0"/>
    <n v="42250"/>
  </r>
  <r>
    <s v="CSKU04455_3EK"/>
    <x v="1"/>
    <x v="0"/>
    <x v="1"/>
    <x v="2"/>
    <x v="1"/>
    <x v="6"/>
    <x v="536"/>
    <x v="1"/>
    <x v="7"/>
    <x v="0"/>
    <n v="41400"/>
  </r>
  <r>
    <s v="CSKU04456_3EK"/>
    <x v="1"/>
    <x v="0"/>
    <x v="1"/>
    <x v="2"/>
    <x v="1"/>
    <x v="1"/>
    <x v="536"/>
    <x v="1"/>
    <x v="8"/>
    <x v="0"/>
    <n v="46040"/>
  </r>
  <r>
    <s v="CSKU04614_3EK"/>
    <x v="1"/>
    <x v="0"/>
    <x v="0"/>
    <x v="0"/>
    <x v="4"/>
    <x v="1"/>
    <x v="16"/>
    <x v="0"/>
    <x v="8"/>
    <x v="0"/>
    <n v="30600"/>
  </r>
  <r>
    <s v="CSKU04801_2ES"/>
    <x v="2"/>
    <x v="1"/>
    <x v="1"/>
    <x v="0"/>
    <x v="4"/>
    <x v="7"/>
    <x v="617"/>
    <x v="1"/>
    <x v="9"/>
    <x v="0"/>
    <n v="80980"/>
  </r>
  <r>
    <s v="CSKU04943_2ES"/>
    <x v="2"/>
    <x v="1"/>
    <x v="1"/>
    <x v="4"/>
    <x v="4"/>
    <x v="7"/>
    <x v="620"/>
    <x v="1"/>
    <x v="9"/>
    <x v="0"/>
    <n v="45780"/>
  </r>
  <r>
    <s v="CSKU04802_2ES"/>
    <x v="2"/>
    <x v="1"/>
    <x v="1"/>
    <x v="0"/>
    <x v="1"/>
    <x v="7"/>
    <x v="617"/>
    <x v="1"/>
    <x v="9"/>
    <x v="0"/>
    <n v="95440"/>
  </r>
  <r>
    <s v="CSKU04803_2ES"/>
    <x v="2"/>
    <x v="1"/>
    <x v="1"/>
    <x v="7"/>
    <x v="4"/>
    <x v="7"/>
    <x v="617"/>
    <x v="1"/>
    <x v="9"/>
    <x v="0"/>
    <n v="84960"/>
  </r>
  <r>
    <s v="CSKU04804_2ES"/>
    <x v="2"/>
    <x v="1"/>
    <x v="1"/>
    <x v="7"/>
    <x v="1"/>
    <x v="7"/>
    <x v="617"/>
    <x v="1"/>
    <x v="9"/>
    <x v="0"/>
    <n v="99420"/>
  </r>
  <r>
    <s v="CSKU04944_2ES"/>
    <x v="2"/>
    <x v="1"/>
    <x v="1"/>
    <x v="0"/>
    <x v="4"/>
    <x v="7"/>
    <x v="620"/>
    <x v="1"/>
    <x v="9"/>
    <x v="0"/>
    <n v="49740"/>
  </r>
  <r>
    <s v="CSKU04945_2ES"/>
    <x v="2"/>
    <x v="1"/>
    <x v="1"/>
    <x v="7"/>
    <x v="4"/>
    <x v="7"/>
    <x v="620"/>
    <x v="1"/>
    <x v="9"/>
    <x v="0"/>
    <n v="53720"/>
  </r>
  <r>
    <s v="CSKU04946_2ES"/>
    <x v="2"/>
    <x v="1"/>
    <x v="1"/>
    <x v="4"/>
    <x v="1"/>
    <x v="7"/>
    <x v="620"/>
    <x v="1"/>
    <x v="9"/>
    <x v="0"/>
    <n v="53720"/>
  </r>
  <r>
    <s v="CSKU04947_2ES"/>
    <x v="2"/>
    <x v="1"/>
    <x v="1"/>
    <x v="0"/>
    <x v="1"/>
    <x v="7"/>
    <x v="620"/>
    <x v="1"/>
    <x v="9"/>
    <x v="0"/>
    <n v="57680"/>
  </r>
  <r>
    <s v="CSKU04948_2ES"/>
    <x v="2"/>
    <x v="1"/>
    <x v="1"/>
    <x v="7"/>
    <x v="1"/>
    <x v="7"/>
    <x v="620"/>
    <x v="1"/>
    <x v="9"/>
    <x v="0"/>
    <n v="61660"/>
  </r>
  <r>
    <s v="CSKU05081_2ES"/>
    <x v="2"/>
    <x v="1"/>
    <x v="0"/>
    <x v="4"/>
    <x v="4"/>
    <x v="7"/>
    <x v="621"/>
    <x v="0"/>
    <x v="9"/>
    <x v="0"/>
    <n v="73400"/>
  </r>
  <r>
    <s v="CSKU05082_2ES"/>
    <x v="2"/>
    <x v="1"/>
    <x v="0"/>
    <x v="0"/>
    <x v="4"/>
    <x v="7"/>
    <x v="621"/>
    <x v="0"/>
    <x v="9"/>
    <x v="0"/>
    <n v="76930"/>
  </r>
  <r>
    <s v="CSKU05083_2ES"/>
    <x v="2"/>
    <x v="1"/>
    <x v="0"/>
    <x v="7"/>
    <x v="4"/>
    <x v="7"/>
    <x v="621"/>
    <x v="0"/>
    <x v="9"/>
    <x v="0"/>
    <n v="80500"/>
  </r>
  <r>
    <s v="CSKU05084_2ES"/>
    <x v="2"/>
    <x v="1"/>
    <x v="0"/>
    <x v="4"/>
    <x v="1"/>
    <x v="7"/>
    <x v="621"/>
    <x v="0"/>
    <x v="9"/>
    <x v="0"/>
    <n v="87020"/>
  </r>
  <r>
    <s v="CSKU05085_2ES"/>
    <x v="2"/>
    <x v="1"/>
    <x v="0"/>
    <x v="0"/>
    <x v="1"/>
    <x v="7"/>
    <x v="621"/>
    <x v="0"/>
    <x v="9"/>
    <x v="0"/>
    <n v="90550"/>
  </r>
  <r>
    <s v="CSKU05086_2ES"/>
    <x v="2"/>
    <x v="1"/>
    <x v="0"/>
    <x v="7"/>
    <x v="1"/>
    <x v="7"/>
    <x v="621"/>
    <x v="0"/>
    <x v="9"/>
    <x v="0"/>
    <n v="94100"/>
  </r>
  <r>
    <s v="CSKU05087_2ES"/>
    <x v="2"/>
    <x v="1"/>
    <x v="1"/>
    <x v="4"/>
    <x v="4"/>
    <x v="7"/>
    <x v="621"/>
    <x v="1"/>
    <x v="9"/>
    <x v="0"/>
    <n v="77020"/>
  </r>
  <r>
    <s v="CSKU05088_2ES"/>
    <x v="2"/>
    <x v="1"/>
    <x v="1"/>
    <x v="4"/>
    <x v="1"/>
    <x v="7"/>
    <x v="621"/>
    <x v="1"/>
    <x v="9"/>
    <x v="0"/>
    <n v="91480"/>
  </r>
  <r>
    <s v="CSKU05089_2ES"/>
    <x v="2"/>
    <x v="1"/>
    <x v="1"/>
    <x v="0"/>
    <x v="4"/>
    <x v="7"/>
    <x v="621"/>
    <x v="1"/>
    <x v="9"/>
    <x v="0"/>
    <n v="80980"/>
  </r>
  <r>
    <s v="CSKU05090_2ES"/>
    <x v="2"/>
    <x v="1"/>
    <x v="1"/>
    <x v="0"/>
    <x v="1"/>
    <x v="7"/>
    <x v="621"/>
    <x v="1"/>
    <x v="9"/>
    <x v="0"/>
    <n v="95440"/>
  </r>
  <r>
    <s v="CSKU05091_2ES"/>
    <x v="2"/>
    <x v="1"/>
    <x v="1"/>
    <x v="7"/>
    <x v="4"/>
    <x v="7"/>
    <x v="621"/>
    <x v="1"/>
    <x v="9"/>
    <x v="0"/>
    <n v="84960"/>
  </r>
  <r>
    <s v="CSKU05092_2ES"/>
    <x v="2"/>
    <x v="1"/>
    <x v="1"/>
    <x v="7"/>
    <x v="1"/>
    <x v="7"/>
    <x v="621"/>
    <x v="1"/>
    <x v="9"/>
    <x v="0"/>
    <n v="99420"/>
  </r>
  <r>
    <s v="CSKU05189_2ES"/>
    <x v="2"/>
    <x v="1"/>
    <x v="0"/>
    <x v="4"/>
    <x v="4"/>
    <x v="7"/>
    <x v="17"/>
    <x v="0"/>
    <x v="9"/>
    <x v="0"/>
    <n v="64800"/>
  </r>
  <r>
    <s v="CSKU05190_2ES"/>
    <x v="2"/>
    <x v="1"/>
    <x v="0"/>
    <x v="0"/>
    <x v="4"/>
    <x v="7"/>
    <x v="17"/>
    <x v="0"/>
    <x v="9"/>
    <x v="0"/>
    <n v="68330"/>
  </r>
  <r>
    <s v="CSKU05191_2ES"/>
    <x v="2"/>
    <x v="1"/>
    <x v="0"/>
    <x v="7"/>
    <x v="4"/>
    <x v="7"/>
    <x v="17"/>
    <x v="0"/>
    <x v="9"/>
    <x v="0"/>
    <n v="71900"/>
  </r>
  <r>
    <s v="CSKU05192_2ES"/>
    <x v="2"/>
    <x v="1"/>
    <x v="0"/>
    <x v="4"/>
    <x v="1"/>
    <x v="7"/>
    <x v="17"/>
    <x v="0"/>
    <x v="9"/>
    <x v="0"/>
    <n v="76040"/>
  </r>
  <r>
    <s v="CSKU05193_2ES"/>
    <x v="2"/>
    <x v="1"/>
    <x v="0"/>
    <x v="0"/>
    <x v="1"/>
    <x v="7"/>
    <x v="17"/>
    <x v="0"/>
    <x v="9"/>
    <x v="0"/>
    <n v="79570"/>
  </r>
  <r>
    <s v="CSKU04362_3EK"/>
    <x v="1"/>
    <x v="0"/>
    <x v="1"/>
    <x v="6"/>
    <x v="1"/>
    <x v="1"/>
    <x v="15"/>
    <x v="1"/>
    <x v="8"/>
    <x v="0"/>
    <n v="40630"/>
  </r>
  <r>
    <s v="CSKU04973_2ES"/>
    <x v="2"/>
    <x v="1"/>
    <x v="0"/>
    <x v="4"/>
    <x v="4"/>
    <x v="7"/>
    <x v="622"/>
    <x v="0"/>
    <x v="9"/>
    <x v="0"/>
    <n v="73400"/>
  </r>
  <r>
    <s v="CSKU04974_2ES"/>
    <x v="2"/>
    <x v="1"/>
    <x v="0"/>
    <x v="0"/>
    <x v="4"/>
    <x v="7"/>
    <x v="622"/>
    <x v="0"/>
    <x v="9"/>
    <x v="0"/>
    <n v="76930"/>
  </r>
  <r>
    <s v="CSKU04975_2ES"/>
    <x v="2"/>
    <x v="1"/>
    <x v="0"/>
    <x v="7"/>
    <x v="4"/>
    <x v="7"/>
    <x v="622"/>
    <x v="0"/>
    <x v="9"/>
    <x v="0"/>
    <n v="80500"/>
  </r>
  <r>
    <s v="CSKU04976_2ES"/>
    <x v="2"/>
    <x v="1"/>
    <x v="0"/>
    <x v="4"/>
    <x v="1"/>
    <x v="7"/>
    <x v="622"/>
    <x v="0"/>
    <x v="9"/>
    <x v="0"/>
    <n v="87020"/>
  </r>
  <r>
    <s v="CSKU04977_2ES"/>
    <x v="2"/>
    <x v="1"/>
    <x v="0"/>
    <x v="0"/>
    <x v="1"/>
    <x v="7"/>
    <x v="622"/>
    <x v="0"/>
    <x v="9"/>
    <x v="0"/>
    <n v="90550"/>
  </r>
  <r>
    <s v="CSKU04829_2ES"/>
    <x v="2"/>
    <x v="1"/>
    <x v="0"/>
    <x v="4"/>
    <x v="4"/>
    <x v="7"/>
    <x v="623"/>
    <x v="0"/>
    <x v="9"/>
    <x v="0"/>
    <n v="56200"/>
  </r>
  <r>
    <s v="CSKU04830_2ES"/>
    <x v="2"/>
    <x v="1"/>
    <x v="0"/>
    <x v="0"/>
    <x v="4"/>
    <x v="7"/>
    <x v="623"/>
    <x v="0"/>
    <x v="9"/>
    <x v="0"/>
    <n v="59730"/>
  </r>
  <r>
    <s v="CSKU04831_2ES"/>
    <x v="2"/>
    <x v="1"/>
    <x v="0"/>
    <x v="7"/>
    <x v="4"/>
    <x v="7"/>
    <x v="623"/>
    <x v="0"/>
    <x v="9"/>
    <x v="0"/>
    <n v="63300"/>
  </r>
  <r>
    <s v="CSKU04832_2ES"/>
    <x v="2"/>
    <x v="1"/>
    <x v="0"/>
    <x v="4"/>
    <x v="1"/>
    <x v="7"/>
    <x v="623"/>
    <x v="0"/>
    <x v="9"/>
    <x v="0"/>
    <n v="65060"/>
  </r>
  <r>
    <s v="CSKU04833_2ES"/>
    <x v="2"/>
    <x v="1"/>
    <x v="0"/>
    <x v="0"/>
    <x v="1"/>
    <x v="7"/>
    <x v="623"/>
    <x v="0"/>
    <x v="9"/>
    <x v="0"/>
    <n v="68590"/>
  </r>
  <r>
    <s v="CSKU04834_2ES"/>
    <x v="2"/>
    <x v="1"/>
    <x v="0"/>
    <x v="7"/>
    <x v="1"/>
    <x v="7"/>
    <x v="623"/>
    <x v="0"/>
    <x v="9"/>
    <x v="0"/>
    <n v="72140"/>
  </r>
  <r>
    <s v="CSKU04835_2ES"/>
    <x v="2"/>
    <x v="1"/>
    <x v="1"/>
    <x v="4"/>
    <x v="4"/>
    <x v="7"/>
    <x v="623"/>
    <x v="1"/>
    <x v="9"/>
    <x v="0"/>
    <n v="59820"/>
  </r>
  <r>
    <s v="CSKU04836_2ES"/>
    <x v="2"/>
    <x v="1"/>
    <x v="1"/>
    <x v="4"/>
    <x v="1"/>
    <x v="7"/>
    <x v="623"/>
    <x v="1"/>
    <x v="9"/>
    <x v="0"/>
    <n v="69520"/>
  </r>
  <r>
    <s v="CSKU04837_2ES"/>
    <x v="2"/>
    <x v="1"/>
    <x v="1"/>
    <x v="0"/>
    <x v="4"/>
    <x v="7"/>
    <x v="623"/>
    <x v="1"/>
    <x v="9"/>
    <x v="0"/>
    <n v="63780"/>
  </r>
  <r>
    <s v="CSKU04838_2ES"/>
    <x v="2"/>
    <x v="1"/>
    <x v="1"/>
    <x v="0"/>
    <x v="1"/>
    <x v="7"/>
    <x v="623"/>
    <x v="1"/>
    <x v="9"/>
    <x v="0"/>
    <n v="73480"/>
  </r>
  <r>
    <s v="CSKU03904_3EK"/>
    <x v="1"/>
    <x v="0"/>
    <x v="0"/>
    <x v="2"/>
    <x v="1"/>
    <x v="1"/>
    <x v="543"/>
    <x v="0"/>
    <x v="8"/>
    <x v="0"/>
    <n v="44020"/>
  </r>
  <r>
    <s v="CSKU03905_3EK"/>
    <x v="1"/>
    <x v="0"/>
    <x v="1"/>
    <x v="0"/>
    <x v="4"/>
    <x v="6"/>
    <x v="543"/>
    <x v="1"/>
    <x v="7"/>
    <x v="0"/>
    <n v="29050"/>
  </r>
  <r>
    <s v="CSKU03906_3EK"/>
    <x v="1"/>
    <x v="0"/>
    <x v="1"/>
    <x v="0"/>
    <x v="4"/>
    <x v="1"/>
    <x v="543"/>
    <x v="1"/>
    <x v="8"/>
    <x v="0"/>
    <n v="32250"/>
  </r>
  <r>
    <s v="CSKU03907_3EK"/>
    <x v="1"/>
    <x v="0"/>
    <x v="1"/>
    <x v="0"/>
    <x v="1"/>
    <x v="6"/>
    <x v="543"/>
    <x v="1"/>
    <x v="7"/>
    <x v="0"/>
    <n v="30900"/>
  </r>
  <r>
    <s v="CSKU03908_3EK"/>
    <x v="1"/>
    <x v="0"/>
    <x v="1"/>
    <x v="0"/>
    <x v="1"/>
    <x v="1"/>
    <x v="543"/>
    <x v="1"/>
    <x v="8"/>
    <x v="0"/>
    <n v="35110"/>
  </r>
  <r>
    <s v="CSKU03909_3EK"/>
    <x v="1"/>
    <x v="0"/>
    <x v="1"/>
    <x v="6"/>
    <x v="4"/>
    <x v="6"/>
    <x v="543"/>
    <x v="1"/>
    <x v="7"/>
    <x v="0"/>
    <n v="33950"/>
  </r>
  <r>
    <s v="CSKU03910_3EK"/>
    <x v="1"/>
    <x v="0"/>
    <x v="1"/>
    <x v="6"/>
    <x v="4"/>
    <x v="1"/>
    <x v="543"/>
    <x v="1"/>
    <x v="8"/>
    <x v="0"/>
    <n v="37160"/>
  </r>
  <r>
    <s v="CSKU03911_3EK"/>
    <x v="1"/>
    <x v="0"/>
    <x v="1"/>
    <x v="6"/>
    <x v="1"/>
    <x v="6"/>
    <x v="543"/>
    <x v="1"/>
    <x v="7"/>
    <x v="0"/>
    <n v="36160"/>
  </r>
  <r>
    <s v="CSKU03912_3EK"/>
    <x v="1"/>
    <x v="0"/>
    <x v="1"/>
    <x v="6"/>
    <x v="1"/>
    <x v="1"/>
    <x v="543"/>
    <x v="1"/>
    <x v="8"/>
    <x v="0"/>
    <n v="40630"/>
  </r>
  <r>
    <s v="CSKU04839_2ES"/>
    <x v="2"/>
    <x v="1"/>
    <x v="1"/>
    <x v="7"/>
    <x v="4"/>
    <x v="7"/>
    <x v="623"/>
    <x v="1"/>
    <x v="9"/>
    <x v="0"/>
    <n v="67760"/>
  </r>
  <r>
    <s v="CSKU04840_2ES"/>
    <x v="2"/>
    <x v="1"/>
    <x v="1"/>
    <x v="7"/>
    <x v="1"/>
    <x v="7"/>
    <x v="623"/>
    <x v="1"/>
    <x v="9"/>
    <x v="0"/>
    <n v="77460"/>
  </r>
  <r>
    <s v="CSKU04703_3EK"/>
    <x v="1"/>
    <x v="0"/>
    <x v="0"/>
    <x v="0"/>
    <x v="4"/>
    <x v="6"/>
    <x v="624"/>
    <x v="0"/>
    <x v="7"/>
    <x v="0"/>
    <n v="10840"/>
  </r>
  <r>
    <s v="CSKU04704_3EK"/>
    <x v="1"/>
    <x v="0"/>
    <x v="0"/>
    <x v="0"/>
    <x v="4"/>
    <x v="1"/>
    <x v="624"/>
    <x v="0"/>
    <x v="8"/>
    <x v="0"/>
    <n v="13710"/>
  </r>
  <r>
    <s v="CSKU04705_3EK"/>
    <x v="1"/>
    <x v="0"/>
    <x v="0"/>
    <x v="0"/>
    <x v="1"/>
    <x v="6"/>
    <x v="624"/>
    <x v="0"/>
    <x v="7"/>
    <x v="0"/>
    <n v="11150"/>
  </r>
  <r>
    <s v="CSKU04706_3EK"/>
    <x v="1"/>
    <x v="0"/>
    <x v="0"/>
    <x v="0"/>
    <x v="1"/>
    <x v="1"/>
    <x v="624"/>
    <x v="0"/>
    <x v="8"/>
    <x v="0"/>
    <n v="14920"/>
  </r>
  <r>
    <s v="CSKU04707_3EK"/>
    <x v="1"/>
    <x v="0"/>
    <x v="0"/>
    <x v="6"/>
    <x v="4"/>
    <x v="6"/>
    <x v="624"/>
    <x v="0"/>
    <x v="7"/>
    <x v="0"/>
    <n v="11590"/>
  </r>
  <r>
    <s v="CSKU04708_3EK"/>
    <x v="1"/>
    <x v="0"/>
    <x v="0"/>
    <x v="6"/>
    <x v="4"/>
    <x v="1"/>
    <x v="624"/>
    <x v="0"/>
    <x v="8"/>
    <x v="0"/>
    <n v="14460"/>
  </r>
  <r>
    <s v="CSKU04709_3EK"/>
    <x v="1"/>
    <x v="0"/>
    <x v="0"/>
    <x v="6"/>
    <x v="1"/>
    <x v="6"/>
    <x v="624"/>
    <x v="0"/>
    <x v="7"/>
    <x v="0"/>
    <n v="11830"/>
  </r>
  <r>
    <s v="CSKU04710_3EK"/>
    <x v="1"/>
    <x v="0"/>
    <x v="0"/>
    <x v="6"/>
    <x v="1"/>
    <x v="1"/>
    <x v="624"/>
    <x v="0"/>
    <x v="8"/>
    <x v="0"/>
    <n v="15820"/>
  </r>
  <r>
    <s v="CSKU04711_3EK"/>
    <x v="1"/>
    <x v="0"/>
    <x v="0"/>
    <x v="2"/>
    <x v="4"/>
    <x v="6"/>
    <x v="624"/>
    <x v="0"/>
    <x v="7"/>
    <x v="0"/>
    <n v="12360"/>
  </r>
  <r>
    <s v="CSKU04712_3EK"/>
    <x v="1"/>
    <x v="0"/>
    <x v="0"/>
    <x v="2"/>
    <x v="4"/>
    <x v="1"/>
    <x v="624"/>
    <x v="0"/>
    <x v="8"/>
    <x v="0"/>
    <n v="15370"/>
  </r>
  <r>
    <s v="CSKU04089_3EK"/>
    <x v="1"/>
    <x v="0"/>
    <x v="1"/>
    <x v="6"/>
    <x v="4"/>
    <x v="6"/>
    <x v="14"/>
    <x v="1"/>
    <x v="7"/>
    <x v="0"/>
    <n v="33950"/>
  </r>
  <r>
    <s v="CSKU04713_3EK"/>
    <x v="1"/>
    <x v="0"/>
    <x v="0"/>
    <x v="2"/>
    <x v="1"/>
    <x v="6"/>
    <x v="624"/>
    <x v="0"/>
    <x v="7"/>
    <x v="0"/>
    <n v="12590"/>
  </r>
  <r>
    <s v="CSKU04978_2ES"/>
    <x v="2"/>
    <x v="1"/>
    <x v="0"/>
    <x v="7"/>
    <x v="1"/>
    <x v="7"/>
    <x v="622"/>
    <x v="0"/>
    <x v="9"/>
    <x v="0"/>
    <n v="94100"/>
  </r>
  <r>
    <s v="CSKU04163_3EK"/>
    <x v="1"/>
    <x v="0"/>
    <x v="0"/>
    <x v="0"/>
    <x v="4"/>
    <x v="6"/>
    <x v="625"/>
    <x v="0"/>
    <x v="7"/>
    <x v="0"/>
    <n v="27730"/>
  </r>
  <r>
    <s v="CSKU04164_3EK"/>
    <x v="1"/>
    <x v="0"/>
    <x v="0"/>
    <x v="0"/>
    <x v="4"/>
    <x v="1"/>
    <x v="625"/>
    <x v="0"/>
    <x v="8"/>
    <x v="0"/>
    <n v="30600"/>
  </r>
  <r>
    <s v="CSKU04165_3EK"/>
    <x v="1"/>
    <x v="0"/>
    <x v="0"/>
    <x v="0"/>
    <x v="1"/>
    <x v="6"/>
    <x v="625"/>
    <x v="0"/>
    <x v="7"/>
    <x v="0"/>
    <n v="29550"/>
  </r>
  <r>
    <s v="CSKU04166_3EK"/>
    <x v="1"/>
    <x v="0"/>
    <x v="0"/>
    <x v="0"/>
    <x v="1"/>
    <x v="1"/>
    <x v="625"/>
    <x v="0"/>
    <x v="8"/>
    <x v="0"/>
    <n v="33320"/>
  </r>
  <r>
    <s v="CSKU04167_3EK"/>
    <x v="1"/>
    <x v="0"/>
    <x v="0"/>
    <x v="6"/>
    <x v="4"/>
    <x v="6"/>
    <x v="625"/>
    <x v="0"/>
    <x v="7"/>
    <x v="0"/>
    <n v="32560"/>
  </r>
  <r>
    <s v="CSKU04168_3EK"/>
    <x v="1"/>
    <x v="0"/>
    <x v="0"/>
    <x v="6"/>
    <x v="4"/>
    <x v="1"/>
    <x v="625"/>
    <x v="0"/>
    <x v="8"/>
    <x v="0"/>
    <n v="35430"/>
  </r>
  <r>
    <s v="CSKU04169_3EK"/>
    <x v="1"/>
    <x v="0"/>
    <x v="0"/>
    <x v="6"/>
    <x v="1"/>
    <x v="6"/>
    <x v="625"/>
    <x v="0"/>
    <x v="7"/>
    <x v="0"/>
    <n v="34740"/>
  </r>
  <r>
    <s v="CSKU04170_3EK"/>
    <x v="1"/>
    <x v="0"/>
    <x v="0"/>
    <x v="6"/>
    <x v="1"/>
    <x v="1"/>
    <x v="625"/>
    <x v="0"/>
    <x v="8"/>
    <x v="0"/>
    <n v="38730"/>
  </r>
  <r>
    <s v="CSKU04171_3EK"/>
    <x v="1"/>
    <x v="0"/>
    <x v="0"/>
    <x v="2"/>
    <x v="4"/>
    <x v="6"/>
    <x v="625"/>
    <x v="0"/>
    <x v="7"/>
    <x v="0"/>
    <n v="37390"/>
  </r>
  <r>
    <s v="CSKU04172_3EK"/>
    <x v="1"/>
    <x v="0"/>
    <x v="0"/>
    <x v="2"/>
    <x v="4"/>
    <x v="1"/>
    <x v="625"/>
    <x v="0"/>
    <x v="8"/>
    <x v="0"/>
    <n v="40400"/>
  </r>
  <r>
    <s v="CSKU04173_3EK"/>
    <x v="1"/>
    <x v="0"/>
    <x v="0"/>
    <x v="2"/>
    <x v="1"/>
    <x v="6"/>
    <x v="625"/>
    <x v="0"/>
    <x v="7"/>
    <x v="0"/>
    <n v="39890"/>
  </r>
  <r>
    <s v="CSKU04714_3EK"/>
    <x v="1"/>
    <x v="0"/>
    <x v="0"/>
    <x v="2"/>
    <x v="1"/>
    <x v="1"/>
    <x v="624"/>
    <x v="0"/>
    <x v="8"/>
    <x v="0"/>
    <n v="16720"/>
  </r>
  <r>
    <s v="CSKU04715_3EK"/>
    <x v="1"/>
    <x v="0"/>
    <x v="1"/>
    <x v="0"/>
    <x v="4"/>
    <x v="6"/>
    <x v="624"/>
    <x v="1"/>
    <x v="7"/>
    <x v="0"/>
    <n v="12160"/>
  </r>
  <r>
    <s v="CSKU04716_3EK"/>
    <x v="1"/>
    <x v="0"/>
    <x v="1"/>
    <x v="0"/>
    <x v="4"/>
    <x v="1"/>
    <x v="624"/>
    <x v="1"/>
    <x v="8"/>
    <x v="0"/>
    <n v="15360"/>
  </r>
  <r>
    <s v="CSKU04717_3EK"/>
    <x v="1"/>
    <x v="0"/>
    <x v="1"/>
    <x v="0"/>
    <x v="1"/>
    <x v="6"/>
    <x v="624"/>
    <x v="1"/>
    <x v="7"/>
    <x v="0"/>
    <n v="12500"/>
  </r>
  <r>
    <s v="CSKU04718_3EK"/>
    <x v="1"/>
    <x v="0"/>
    <x v="1"/>
    <x v="0"/>
    <x v="1"/>
    <x v="1"/>
    <x v="624"/>
    <x v="1"/>
    <x v="8"/>
    <x v="0"/>
    <n v="16710"/>
  </r>
  <r>
    <s v="CSKU04719_3EK"/>
    <x v="1"/>
    <x v="0"/>
    <x v="1"/>
    <x v="6"/>
    <x v="4"/>
    <x v="6"/>
    <x v="624"/>
    <x v="1"/>
    <x v="7"/>
    <x v="0"/>
    <n v="12980"/>
  </r>
  <r>
    <s v="CSKU04720_3EK"/>
    <x v="1"/>
    <x v="0"/>
    <x v="1"/>
    <x v="6"/>
    <x v="4"/>
    <x v="1"/>
    <x v="624"/>
    <x v="1"/>
    <x v="8"/>
    <x v="0"/>
    <n v="16190"/>
  </r>
  <r>
    <s v="CSKU04721_3EK"/>
    <x v="1"/>
    <x v="0"/>
    <x v="1"/>
    <x v="6"/>
    <x v="1"/>
    <x v="6"/>
    <x v="624"/>
    <x v="1"/>
    <x v="7"/>
    <x v="0"/>
    <n v="13250"/>
  </r>
  <r>
    <s v="CSKU04722_3EK"/>
    <x v="1"/>
    <x v="0"/>
    <x v="1"/>
    <x v="6"/>
    <x v="1"/>
    <x v="1"/>
    <x v="624"/>
    <x v="1"/>
    <x v="8"/>
    <x v="0"/>
    <n v="17720"/>
  </r>
  <r>
    <s v="CSKU04723_3EK"/>
    <x v="1"/>
    <x v="0"/>
    <x v="1"/>
    <x v="2"/>
    <x v="4"/>
    <x v="6"/>
    <x v="624"/>
    <x v="1"/>
    <x v="7"/>
    <x v="0"/>
    <n v="13840"/>
  </r>
  <r>
    <s v="CSKU04724_3EK"/>
    <x v="1"/>
    <x v="0"/>
    <x v="1"/>
    <x v="2"/>
    <x v="4"/>
    <x v="1"/>
    <x v="624"/>
    <x v="1"/>
    <x v="8"/>
    <x v="0"/>
    <n v="17220"/>
  </r>
  <r>
    <s v="CSKU04725_3EK"/>
    <x v="1"/>
    <x v="0"/>
    <x v="1"/>
    <x v="2"/>
    <x v="1"/>
    <x v="6"/>
    <x v="624"/>
    <x v="1"/>
    <x v="7"/>
    <x v="0"/>
    <n v="14100"/>
  </r>
  <r>
    <s v="CSKU04979_2ES"/>
    <x v="2"/>
    <x v="1"/>
    <x v="1"/>
    <x v="4"/>
    <x v="4"/>
    <x v="7"/>
    <x v="622"/>
    <x v="1"/>
    <x v="9"/>
    <x v="0"/>
    <n v="77020"/>
  </r>
  <r>
    <s v="CSKU04980_2ES"/>
    <x v="2"/>
    <x v="1"/>
    <x v="1"/>
    <x v="4"/>
    <x v="1"/>
    <x v="7"/>
    <x v="622"/>
    <x v="1"/>
    <x v="9"/>
    <x v="0"/>
    <n v="91480"/>
  </r>
  <r>
    <s v="CSKU04981_2ES"/>
    <x v="2"/>
    <x v="1"/>
    <x v="1"/>
    <x v="0"/>
    <x v="4"/>
    <x v="7"/>
    <x v="622"/>
    <x v="1"/>
    <x v="9"/>
    <x v="0"/>
    <n v="80980"/>
  </r>
  <r>
    <s v="CSKU04982_2ES"/>
    <x v="2"/>
    <x v="1"/>
    <x v="1"/>
    <x v="0"/>
    <x v="1"/>
    <x v="7"/>
    <x v="622"/>
    <x v="1"/>
    <x v="9"/>
    <x v="0"/>
    <n v="95440"/>
  </r>
  <r>
    <s v="CSKU04983_2ES"/>
    <x v="2"/>
    <x v="1"/>
    <x v="1"/>
    <x v="7"/>
    <x v="4"/>
    <x v="7"/>
    <x v="622"/>
    <x v="1"/>
    <x v="9"/>
    <x v="0"/>
    <n v="84960"/>
  </r>
  <r>
    <s v="CSKU04984_2ES"/>
    <x v="2"/>
    <x v="1"/>
    <x v="1"/>
    <x v="7"/>
    <x v="1"/>
    <x v="7"/>
    <x v="622"/>
    <x v="1"/>
    <x v="9"/>
    <x v="0"/>
    <n v="99420"/>
  </r>
  <r>
    <s v="CSKU03826_3EK"/>
    <x v="1"/>
    <x v="0"/>
    <x v="1"/>
    <x v="2"/>
    <x v="1"/>
    <x v="1"/>
    <x v="626"/>
    <x v="1"/>
    <x v="8"/>
    <x v="0"/>
    <n v="46040"/>
  </r>
  <r>
    <s v="CSKU03913_3EK"/>
    <x v="1"/>
    <x v="0"/>
    <x v="1"/>
    <x v="2"/>
    <x v="4"/>
    <x v="6"/>
    <x v="543"/>
    <x v="1"/>
    <x v="7"/>
    <x v="0"/>
    <n v="38870"/>
  </r>
  <r>
    <s v="CSKU04174_3EK"/>
    <x v="1"/>
    <x v="0"/>
    <x v="0"/>
    <x v="2"/>
    <x v="1"/>
    <x v="1"/>
    <x v="625"/>
    <x v="0"/>
    <x v="8"/>
    <x v="0"/>
    <n v="44020"/>
  </r>
  <r>
    <s v="CSKU03914_3EK"/>
    <x v="1"/>
    <x v="0"/>
    <x v="1"/>
    <x v="2"/>
    <x v="4"/>
    <x v="1"/>
    <x v="543"/>
    <x v="1"/>
    <x v="8"/>
    <x v="0"/>
    <n v="42250"/>
  </r>
  <r>
    <s v="CSKU03915_3EK"/>
    <x v="1"/>
    <x v="0"/>
    <x v="1"/>
    <x v="2"/>
    <x v="1"/>
    <x v="6"/>
    <x v="543"/>
    <x v="1"/>
    <x v="7"/>
    <x v="0"/>
    <n v="41400"/>
  </r>
  <r>
    <s v="CSKU03916_3EK"/>
    <x v="1"/>
    <x v="0"/>
    <x v="1"/>
    <x v="2"/>
    <x v="1"/>
    <x v="1"/>
    <x v="543"/>
    <x v="1"/>
    <x v="8"/>
    <x v="0"/>
    <n v="46040"/>
  </r>
  <r>
    <s v="CSKU04175_3EK"/>
    <x v="1"/>
    <x v="0"/>
    <x v="1"/>
    <x v="0"/>
    <x v="4"/>
    <x v="6"/>
    <x v="625"/>
    <x v="1"/>
    <x v="7"/>
    <x v="0"/>
    <n v="29050"/>
  </r>
  <r>
    <s v="CSKU04176_3EK"/>
    <x v="1"/>
    <x v="0"/>
    <x v="1"/>
    <x v="0"/>
    <x v="4"/>
    <x v="1"/>
    <x v="625"/>
    <x v="1"/>
    <x v="8"/>
    <x v="0"/>
    <n v="32250"/>
  </r>
  <r>
    <s v="CSKU04177_3EK"/>
    <x v="1"/>
    <x v="0"/>
    <x v="1"/>
    <x v="0"/>
    <x v="1"/>
    <x v="6"/>
    <x v="625"/>
    <x v="1"/>
    <x v="7"/>
    <x v="0"/>
    <n v="30900"/>
  </r>
  <r>
    <s v="CSKU04178_3EK"/>
    <x v="1"/>
    <x v="0"/>
    <x v="1"/>
    <x v="0"/>
    <x v="1"/>
    <x v="1"/>
    <x v="625"/>
    <x v="1"/>
    <x v="8"/>
    <x v="0"/>
    <n v="35110"/>
  </r>
  <r>
    <s v="CSKU04179_3EK"/>
    <x v="1"/>
    <x v="0"/>
    <x v="1"/>
    <x v="6"/>
    <x v="4"/>
    <x v="6"/>
    <x v="625"/>
    <x v="1"/>
    <x v="7"/>
    <x v="0"/>
    <n v="33950"/>
  </r>
  <r>
    <s v="CSKU04180_3EK"/>
    <x v="1"/>
    <x v="0"/>
    <x v="1"/>
    <x v="6"/>
    <x v="4"/>
    <x v="1"/>
    <x v="625"/>
    <x v="1"/>
    <x v="8"/>
    <x v="0"/>
    <n v="37160"/>
  </r>
  <r>
    <s v="CSKU04181_3EK"/>
    <x v="1"/>
    <x v="0"/>
    <x v="1"/>
    <x v="6"/>
    <x v="1"/>
    <x v="6"/>
    <x v="625"/>
    <x v="1"/>
    <x v="7"/>
    <x v="0"/>
    <n v="36160"/>
  </r>
  <r>
    <s v="CSKU04182_3EK"/>
    <x v="1"/>
    <x v="0"/>
    <x v="1"/>
    <x v="6"/>
    <x v="1"/>
    <x v="1"/>
    <x v="625"/>
    <x v="1"/>
    <x v="8"/>
    <x v="0"/>
    <n v="40630"/>
  </r>
  <r>
    <s v="CSKU04183_3EK"/>
    <x v="1"/>
    <x v="0"/>
    <x v="1"/>
    <x v="2"/>
    <x v="4"/>
    <x v="6"/>
    <x v="625"/>
    <x v="1"/>
    <x v="7"/>
    <x v="0"/>
    <n v="38870"/>
  </r>
  <r>
    <s v="CSKU04184_3EK"/>
    <x v="1"/>
    <x v="0"/>
    <x v="1"/>
    <x v="2"/>
    <x v="4"/>
    <x v="1"/>
    <x v="625"/>
    <x v="1"/>
    <x v="8"/>
    <x v="0"/>
    <n v="42250"/>
  </r>
  <r>
    <s v="CSKU04185_3EK"/>
    <x v="1"/>
    <x v="0"/>
    <x v="1"/>
    <x v="2"/>
    <x v="1"/>
    <x v="6"/>
    <x v="625"/>
    <x v="1"/>
    <x v="7"/>
    <x v="0"/>
    <n v="41400"/>
  </r>
  <r>
    <s v="CSKU04186_3EK"/>
    <x v="1"/>
    <x v="0"/>
    <x v="1"/>
    <x v="2"/>
    <x v="1"/>
    <x v="1"/>
    <x v="625"/>
    <x v="1"/>
    <x v="8"/>
    <x v="0"/>
    <n v="46040"/>
  </r>
  <r>
    <s v="CSKU04343_3EK"/>
    <x v="1"/>
    <x v="0"/>
    <x v="0"/>
    <x v="0"/>
    <x v="4"/>
    <x v="6"/>
    <x v="15"/>
    <x v="0"/>
    <x v="7"/>
    <x v="0"/>
    <n v="27730"/>
  </r>
  <r>
    <s v="CSKU04344_3EK"/>
    <x v="1"/>
    <x v="0"/>
    <x v="0"/>
    <x v="0"/>
    <x v="4"/>
    <x v="1"/>
    <x v="15"/>
    <x v="0"/>
    <x v="8"/>
    <x v="0"/>
    <n v="30600"/>
  </r>
  <r>
    <s v="CSKU04345_3EK"/>
    <x v="1"/>
    <x v="0"/>
    <x v="0"/>
    <x v="0"/>
    <x v="1"/>
    <x v="6"/>
    <x v="15"/>
    <x v="0"/>
    <x v="7"/>
    <x v="0"/>
    <n v="29550"/>
  </r>
  <r>
    <s v="CSKU04346_3EK"/>
    <x v="1"/>
    <x v="0"/>
    <x v="0"/>
    <x v="0"/>
    <x v="1"/>
    <x v="1"/>
    <x v="15"/>
    <x v="0"/>
    <x v="8"/>
    <x v="0"/>
    <n v="33320"/>
  </r>
  <r>
    <s v="CSKU04347_3EK"/>
    <x v="1"/>
    <x v="0"/>
    <x v="0"/>
    <x v="6"/>
    <x v="4"/>
    <x v="6"/>
    <x v="15"/>
    <x v="0"/>
    <x v="7"/>
    <x v="0"/>
    <n v="32560"/>
  </r>
  <r>
    <s v="CSKU04348_3EK"/>
    <x v="1"/>
    <x v="0"/>
    <x v="0"/>
    <x v="6"/>
    <x v="4"/>
    <x v="1"/>
    <x v="15"/>
    <x v="0"/>
    <x v="8"/>
    <x v="0"/>
    <n v="35430"/>
  </r>
  <r>
    <s v="CSKU04349_3EK"/>
    <x v="1"/>
    <x v="0"/>
    <x v="0"/>
    <x v="6"/>
    <x v="1"/>
    <x v="6"/>
    <x v="15"/>
    <x v="0"/>
    <x v="7"/>
    <x v="0"/>
    <n v="34740"/>
  </r>
  <r>
    <s v="CSKU04350_3EK"/>
    <x v="1"/>
    <x v="0"/>
    <x v="0"/>
    <x v="6"/>
    <x v="1"/>
    <x v="1"/>
    <x v="15"/>
    <x v="0"/>
    <x v="8"/>
    <x v="0"/>
    <n v="38730"/>
  </r>
  <r>
    <s v="CSKU04726_3EK"/>
    <x v="1"/>
    <x v="0"/>
    <x v="1"/>
    <x v="2"/>
    <x v="1"/>
    <x v="1"/>
    <x v="624"/>
    <x v="1"/>
    <x v="8"/>
    <x v="0"/>
    <n v="18740"/>
  </r>
  <r>
    <s v="CSKU04613_3EK"/>
    <x v="1"/>
    <x v="0"/>
    <x v="0"/>
    <x v="0"/>
    <x v="4"/>
    <x v="6"/>
    <x v="16"/>
    <x v="0"/>
    <x v="7"/>
    <x v="0"/>
    <n v="27730"/>
  </r>
  <r>
    <s v="CSKU03803_3EK"/>
    <x v="1"/>
    <x v="0"/>
    <x v="0"/>
    <x v="0"/>
    <x v="4"/>
    <x v="6"/>
    <x v="626"/>
    <x v="0"/>
    <x v="7"/>
    <x v="0"/>
    <n v="27730"/>
  </r>
  <r>
    <s v="CSKU03804_3EK"/>
    <x v="1"/>
    <x v="0"/>
    <x v="0"/>
    <x v="0"/>
    <x v="4"/>
    <x v="1"/>
    <x v="626"/>
    <x v="0"/>
    <x v="8"/>
    <x v="0"/>
    <n v="30600"/>
  </r>
  <r>
    <s v="CSKU03805_3EK"/>
    <x v="1"/>
    <x v="0"/>
    <x v="0"/>
    <x v="0"/>
    <x v="1"/>
    <x v="6"/>
    <x v="626"/>
    <x v="0"/>
    <x v="7"/>
    <x v="0"/>
    <n v="29550"/>
  </r>
  <r>
    <s v="CSKU03806_3EK"/>
    <x v="1"/>
    <x v="0"/>
    <x v="0"/>
    <x v="0"/>
    <x v="1"/>
    <x v="1"/>
    <x v="626"/>
    <x v="0"/>
    <x v="8"/>
    <x v="0"/>
    <n v="33320"/>
  </r>
  <r>
    <s v="CSKU03807_3EK"/>
    <x v="1"/>
    <x v="0"/>
    <x v="0"/>
    <x v="6"/>
    <x v="4"/>
    <x v="6"/>
    <x v="626"/>
    <x v="0"/>
    <x v="7"/>
    <x v="0"/>
    <n v="32560"/>
  </r>
  <r>
    <s v="CSKU04073_3EK"/>
    <x v="1"/>
    <x v="0"/>
    <x v="0"/>
    <x v="0"/>
    <x v="4"/>
    <x v="6"/>
    <x v="14"/>
    <x v="0"/>
    <x v="7"/>
    <x v="0"/>
    <n v="27730"/>
  </r>
  <r>
    <s v="CSKU04351_3EK"/>
    <x v="1"/>
    <x v="0"/>
    <x v="0"/>
    <x v="2"/>
    <x v="4"/>
    <x v="6"/>
    <x v="15"/>
    <x v="0"/>
    <x v="7"/>
    <x v="0"/>
    <n v="37390"/>
  </r>
  <r>
    <s v="CSKU04352_3EK"/>
    <x v="1"/>
    <x v="0"/>
    <x v="0"/>
    <x v="2"/>
    <x v="4"/>
    <x v="1"/>
    <x v="15"/>
    <x v="0"/>
    <x v="8"/>
    <x v="0"/>
    <n v="40400"/>
  </r>
  <r>
    <s v="CSKU04353_3EK"/>
    <x v="1"/>
    <x v="0"/>
    <x v="0"/>
    <x v="2"/>
    <x v="1"/>
    <x v="6"/>
    <x v="15"/>
    <x v="0"/>
    <x v="7"/>
    <x v="0"/>
    <n v="39890"/>
  </r>
  <r>
    <s v="CSKU04354_3EK"/>
    <x v="1"/>
    <x v="0"/>
    <x v="0"/>
    <x v="2"/>
    <x v="1"/>
    <x v="1"/>
    <x v="15"/>
    <x v="0"/>
    <x v="8"/>
    <x v="0"/>
    <n v="44020"/>
  </r>
  <r>
    <s v="CSKU04355_3EK"/>
    <x v="1"/>
    <x v="0"/>
    <x v="1"/>
    <x v="0"/>
    <x v="4"/>
    <x v="6"/>
    <x v="15"/>
    <x v="1"/>
    <x v="7"/>
    <x v="0"/>
    <n v="29050"/>
  </r>
  <r>
    <s v="CSKU04356_3EK"/>
    <x v="1"/>
    <x v="0"/>
    <x v="1"/>
    <x v="0"/>
    <x v="4"/>
    <x v="1"/>
    <x v="15"/>
    <x v="1"/>
    <x v="8"/>
    <x v="0"/>
    <n v="32250"/>
  </r>
  <r>
    <s v="CSKU04357_3EK"/>
    <x v="1"/>
    <x v="0"/>
    <x v="1"/>
    <x v="0"/>
    <x v="1"/>
    <x v="6"/>
    <x v="15"/>
    <x v="1"/>
    <x v="7"/>
    <x v="0"/>
    <n v="30900"/>
  </r>
  <r>
    <s v="CSKU04358_3EK"/>
    <x v="1"/>
    <x v="0"/>
    <x v="1"/>
    <x v="0"/>
    <x v="1"/>
    <x v="1"/>
    <x v="15"/>
    <x v="1"/>
    <x v="8"/>
    <x v="0"/>
    <n v="35110"/>
  </r>
  <r>
    <s v="CSKU04359_3EK"/>
    <x v="1"/>
    <x v="0"/>
    <x v="1"/>
    <x v="6"/>
    <x v="4"/>
    <x v="6"/>
    <x v="15"/>
    <x v="1"/>
    <x v="7"/>
    <x v="0"/>
    <n v="33950"/>
  </r>
  <r>
    <s v="CSKU04360_3EK"/>
    <x v="1"/>
    <x v="0"/>
    <x v="1"/>
    <x v="6"/>
    <x v="4"/>
    <x v="1"/>
    <x v="15"/>
    <x v="1"/>
    <x v="8"/>
    <x v="0"/>
    <n v="37160"/>
  </r>
  <r>
    <s v="CSKU04361_3EK"/>
    <x v="1"/>
    <x v="0"/>
    <x v="1"/>
    <x v="6"/>
    <x v="1"/>
    <x v="6"/>
    <x v="15"/>
    <x v="1"/>
    <x v="7"/>
    <x v="0"/>
    <n v="36160"/>
  </r>
  <r>
    <s v="CSKU03547_3EK"/>
    <x v="1"/>
    <x v="0"/>
    <x v="1"/>
    <x v="0"/>
    <x v="1"/>
    <x v="6"/>
    <x v="535"/>
    <x v="1"/>
    <x v="7"/>
    <x v="0"/>
    <n v="30900"/>
  </r>
  <r>
    <s v="CSKU03548_3EK"/>
    <x v="1"/>
    <x v="0"/>
    <x v="1"/>
    <x v="0"/>
    <x v="1"/>
    <x v="1"/>
    <x v="535"/>
    <x v="1"/>
    <x v="8"/>
    <x v="0"/>
    <n v="35110"/>
  </r>
  <r>
    <s v="CSKU03549_3EK"/>
    <x v="1"/>
    <x v="0"/>
    <x v="1"/>
    <x v="6"/>
    <x v="4"/>
    <x v="6"/>
    <x v="535"/>
    <x v="1"/>
    <x v="7"/>
    <x v="0"/>
    <n v="33950"/>
  </r>
  <r>
    <s v="CSKU03550_3EK"/>
    <x v="1"/>
    <x v="0"/>
    <x v="1"/>
    <x v="6"/>
    <x v="4"/>
    <x v="1"/>
    <x v="535"/>
    <x v="1"/>
    <x v="8"/>
    <x v="0"/>
    <n v="37160"/>
  </r>
  <r>
    <s v="CSKU03551_3EK"/>
    <x v="1"/>
    <x v="0"/>
    <x v="1"/>
    <x v="6"/>
    <x v="1"/>
    <x v="6"/>
    <x v="535"/>
    <x v="1"/>
    <x v="7"/>
    <x v="0"/>
    <n v="36160"/>
  </r>
  <r>
    <s v="CSKU03552_3EK"/>
    <x v="1"/>
    <x v="0"/>
    <x v="1"/>
    <x v="6"/>
    <x v="1"/>
    <x v="1"/>
    <x v="535"/>
    <x v="1"/>
    <x v="8"/>
    <x v="0"/>
    <n v="40630"/>
  </r>
  <r>
    <s v="CSKU03553_3EK"/>
    <x v="1"/>
    <x v="0"/>
    <x v="1"/>
    <x v="2"/>
    <x v="4"/>
    <x v="6"/>
    <x v="535"/>
    <x v="1"/>
    <x v="7"/>
    <x v="0"/>
    <n v="38870"/>
  </r>
  <r>
    <s v="CSKU03554_3EK"/>
    <x v="1"/>
    <x v="0"/>
    <x v="1"/>
    <x v="2"/>
    <x v="4"/>
    <x v="1"/>
    <x v="535"/>
    <x v="1"/>
    <x v="8"/>
    <x v="0"/>
    <n v="42250"/>
  </r>
  <r>
    <s v="CSKU03555_3EK"/>
    <x v="1"/>
    <x v="0"/>
    <x v="1"/>
    <x v="2"/>
    <x v="1"/>
    <x v="6"/>
    <x v="535"/>
    <x v="1"/>
    <x v="7"/>
    <x v="0"/>
    <n v="41400"/>
  </r>
  <r>
    <s v="CSKU03556_3EK"/>
    <x v="1"/>
    <x v="0"/>
    <x v="1"/>
    <x v="2"/>
    <x v="1"/>
    <x v="1"/>
    <x v="535"/>
    <x v="1"/>
    <x v="8"/>
    <x v="0"/>
    <n v="46040"/>
  </r>
  <r>
    <s v="CSKU03808_3EK"/>
    <x v="1"/>
    <x v="0"/>
    <x v="0"/>
    <x v="6"/>
    <x v="4"/>
    <x v="1"/>
    <x v="626"/>
    <x v="0"/>
    <x v="8"/>
    <x v="0"/>
    <n v="35430"/>
  </r>
  <r>
    <s v="CSKU04074_3EK"/>
    <x v="1"/>
    <x v="0"/>
    <x v="0"/>
    <x v="0"/>
    <x v="4"/>
    <x v="1"/>
    <x v="14"/>
    <x v="0"/>
    <x v="8"/>
    <x v="0"/>
    <n v="30600"/>
  </r>
  <r>
    <s v="CSKU03809_3EK"/>
    <x v="1"/>
    <x v="0"/>
    <x v="0"/>
    <x v="6"/>
    <x v="1"/>
    <x v="6"/>
    <x v="626"/>
    <x v="0"/>
    <x v="7"/>
    <x v="0"/>
    <n v="34740"/>
  </r>
  <r>
    <s v="CSKU03810_3EK"/>
    <x v="1"/>
    <x v="0"/>
    <x v="0"/>
    <x v="6"/>
    <x v="1"/>
    <x v="1"/>
    <x v="626"/>
    <x v="0"/>
    <x v="8"/>
    <x v="0"/>
    <n v="38730"/>
  </r>
  <r>
    <s v="CSKU03811_3EK"/>
    <x v="1"/>
    <x v="0"/>
    <x v="0"/>
    <x v="2"/>
    <x v="4"/>
    <x v="6"/>
    <x v="626"/>
    <x v="0"/>
    <x v="7"/>
    <x v="0"/>
    <n v="37390"/>
  </r>
  <r>
    <s v="CSKU03812_3EK"/>
    <x v="1"/>
    <x v="0"/>
    <x v="0"/>
    <x v="2"/>
    <x v="4"/>
    <x v="1"/>
    <x v="626"/>
    <x v="0"/>
    <x v="8"/>
    <x v="0"/>
    <n v="40400"/>
  </r>
  <r>
    <s v="CSKU03813_3EK"/>
    <x v="1"/>
    <x v="0"/>
    <x v="0"/>
    <x v="2"/>
    <x v="1"/>
    <x v="6"/>
    <x v="626"/>
    <x v="0"/>
    <x v="7"/>
    <x v="0"/>
    <n v="39890"/>
  </r>
  <r>
    <s v="CSKU03814_3EK"/>
    <x v="1"/>
    <x v="0"/>
    <x v="0"/>
    <x v="2"/>
    <x v="1"/>
    <x v="1"/>
    <x v="626"/>
    <x v="0"/>
    <x v="8"/>
    <x v="0"/>
    <n v="44020"/>
  </r>
  <r>
    <s v="CSKU03815_3EK"/>
    <x v="1"/>
    <x v="0"/>
    <x v="1"/>
    <x v="0"/>
    <x v="4"/>
    <x v="6"/>
    <x v="626"/>
    <x v="1"/>
    <x v="7"/>
    <x v="0"/>
    <n v="29050"/>
  </r>
  <r>
    <s v="CSKU03816_3EK"/>
    <x v="1"/>
    <x v="0"/>
    <x v="1"/>
    <x v="0"/>
    <x v="4"/>
    <x v="1"/>
    <x v="626"/>
    <x v="1"/>
    <x v="8"/>
    <x v="0"/>
    <n v="32250"/>
  </r>
  <r>
    <s v="CSKU03817_3EK"/>
    <x v="1"/>
    <x v="0"/>
    <x v="1"/>
    <x v="0"/>
    <x v="1"/>
    <x v="6"/>
    <x v="626"/>
    <x v="1"/>
    <x v="7"/>
    <x v="0"/>
    <n v="30900"/>
  </r>
  <r>
    <s v="CSKU03818_3EK"/>
    <x v="1"/>
    <x v="0"/>
    <x v="1"/>
    <x v="0"/>
    <x v="1"/>
    <x v="1"/>
    <x v="626"/>
    <x v="1"/>
    <x v="8"/>
    <x v="0"/>
    <n v="35110"/>
  </r>
  <r>
    <s v="CSKU04075_3EK"/>
    <x v="1"/>
    <x v="0"/>
    <x v="0"/>
    <x v="0"/>
    <x v="1"/>
    <x v="6"/>
    <x v="14"/>
    <x v="0"/>
    <x v="7"/>
    <x v="0"/>
    <n v="29550"/>
  </r>
  <r>
    <s v="CSKU04076_3EK"/>
    <x v="1"/>
    <x v="0"/>
    <x v="0"/>
    <x v="0"/>
    <x v="1"/>
    <x v="1"/>
    <x v="14"/>
    <x v="0"/>
    <x v="8"/>
    <x v="0"/>
    <n v="33320"/>
  </r>
  <r>
    <s v="CSKU04077_3EK"/>
    <x v="1"/>
    <x v="0"/>
    <x v="0"/>
    <x v="6"/>
    <x v="4"/>
    <x v="6"/>
    <x v="14"/>
    <x v="0"/>
    <x v="7"/>
    <x v="0"/>
    <n v="32560"/>
  </r>
  <r>
    <s v="CSKU04078_3EK"/>
    <x v="1"/>
    <x v="0"/>
    <x v="0"/>
    <x v="6"/>
    <x v="4"/>
    <x v="1"/>
    <x v="14"/>
    <x v="0"/>
    <x v="8"/>
    <x v="0"/>
    <n v="35430"/>
  </r>
  <r>
    <s v="CSKU04079_3EK"/>
    <x v="1"/>
    <x v="0"/>
    <x v="0"/>
    <x v="6"/>
    <x v="1"/>
    <x v="6"/>
    <x v="14"/>
    <x v="0"/>
    <x v="7"/>
    <x v="0"/>
    <n v="34740"/>
  </r>
  <r>
    <s v="CSKU04080_3EK"/>
    <x v="1"/>
    <x v="0"/>
    <x v="0"/>
    <x v="6"/>
    <x v="1"/>
    <x v="1"/>
    <x v="14"/>
    <x v="0"/>
    <x v="8"/>
    <x v="0"/>
    <n v="38730"/>
  </r>
  <r>
    <s v="CSKU04081_3EK"/>
    <x v="1"/>
    <x v="0"/>
    <x v="0"/>
    <x v="2"/>
    <x v="4"/>
    <x v="6"/>
    <x v="14"/>
    <x v="0"/>
    <x v="7"/>
    <x v="0"/>
    <n v="37390"/>
  </r>
  <r>
    <s v="CSKU04082_3EK"/>
    <x v="1"/>
    <x v="0"/>
    <x v="0"/>
    <x v="2"/>
    <x v="4"/>
    <x v="1"/>
    <x v="14"/>
    <x v="0"/>
    <x v="8"/>
    <x v="0"/>
    <n v="40400"/>
  </r>
  <r>
    <s v="CSKU04083_3EK"/>
    <x v="1"/>
    <x v="0"/>
    <x v="0"/>
    <x v="2"/>
    <x v="1"/>
    <x v="6"/>
    <x v="14"/>
    <x v="0"/>
    <x v="7"/>
    <x v="0"/>
    <n v="39890"/>
  </r>
  <r>
    <s v="CSKU03819_3EK"/>
    <x v="1"/>
    <x v="0"/>
    <x v="1"/>
    <x v="6"/>
    <x v="4"/>
    <x v="6"/>
    <x v="626"/>
    <x v="1"/>
    <x v="7"/>
    <x v="0"/>
    <n v="33950"/>
  </r>
  <r>
    <s v="CSKU04084_3EK"/>
    <x v="1"/>
    <x v="0"/>
    <x v="0"/>
    <x v="2"/>
    <x v="1"/>
    <x v="1"/>
    <x v="14"/>
    <x v="0"/>
    <x v="8"/>
    <x v="0"/>
    <n v="44020"/>
  </r>
  <r>
    <s v="CSKU04085_3EK"/>
    <x v="1"/>
    <x v="0"/>
    <x v="1"/>
    <x v="0"/>
    <x v="4"/>
    <x v="6"/>
    <x v="14"/>
    <x v="1"/>
    <x v="7"/>
    <x v="0"/>
    <n v="29050"/>
  </r>
  <r>
    <s v="CSKU04086_3EK"/>
    <x v="1"/>
    <x v="0"/>
    <x v="1"/>
    <x v="0"/>
    <x v="4"/>
    <x v="1"/>
    <x v="14"/>
    <x v="1"/>
    <x v="8"/>
    <x v="0"/>
    <n v="32250"/>
  </r>
  <r>
    <s v="CSKU04087_3EK"/>
    <x v="1"/>
    <x v="0"/>
    <x v="1"/>
    <x v="0"/>
    <x v="1"/>
    <x v="6"/>
    <x v="14"/>
    <x v="1"/>
    <x v="7"/>
    <x v="0"/>
    <n v="30900"/>
  </r>
  <r>
    <s v="CSKU04088_3EK"/>
    <x v="1"/>
    <x v="0"/>
    <x v="1"/>
    <x v="0"/>
    <x v="1"/>
    <x v="1"/>
    <x v="14"/>
    <x v="1"/>
    <x v="8"/>
    <x v="0"/>
    <n v="35110"/>
  </r>
  <r>
    <s v="CSKU03443_3EK"/>
    <x v="1"/>
    <x v="0"/>
    <x v="0"/>
    <x v="0"/>
    <x v="4"/>
    <x v="6"/>
    <x v="627"/>
    <x v="0"/>
    <x v="7"/>
    <x v="0"/>
    <n v="27730"/>
  </r>
  <r>
    <s v="CSKU03444_3EK"/>
    <x v="1"/>
    <x v="0"/>
    <x v="0"/>
    <x v="0"/>
    <x v="4"/>
    <x v="1"/>
    <x v="627"/>
    <x v="0"/>
    <x v="8"/>
    <x v="0"/>
    <n v="30600"/>
  </r>
  <r>
    <s v="CSKU03445_3EK"/>
    <x v="1"/>
    <x v="0"/>
    <x v="0"/>
    <x v="0"/>
    <x v="1"/>
    <x v="6"/>
    <x v="627"/>
    <x v="0"/>
    <x v="7"/>
    <x v="0"/>
    <n v="29550"/>
  </r>
  <r>
    <s v="CSKU03446_3EK"/>
    <x v="1"/>
    <x v="0"/>
    <x v="0"/>
    <x v="0"/>
    <x v="1"/>
    <x v="1"/>
    <x v="627"/>
    <x v="0"/>
    <x v="8"/>
    <x v="0"/>
    <n v="33320"/>
  </r>
  <r>
    <s v="CSKU03447_3EK"/>
    <x v="1"/>
    <x v="0"/>
    <x v="0"/>
    <x v="6"/>
    <x v="4"/>
    <x v="6"/>
    <x v="627"/>
    <x v="0"/>
    <x v="7"/>
    <x v="0"/>
    <n v="32560"/>
  </r>
  <r>
    <s v="CSKU03448_3EK"/>
    <x v="1"/>
    <x v="0"/>
    <x v="0"/>
    <x v="6"/>
    <x v="4"/>
    <x v="1"/>
    <x v="627"/>
    <x v="0"/>
    <x v="8"/>
    <x v="0"/>
    <n v="35430"/>
  </r>
  <r>
    <s v="CSKU03449_3EK"/>
    <x v="1"/>
    <x v="0"/>
    <x v="0"/>
    <x v="6"/>
    <x v="1"/>
    <x v="6"/>
    <x v="627"/>
    <x v="0"/>
    <x v="7"/>
    <x v="0"/>
    <n v="34740"/>
  </r>
  <r>
    <s v="CSKU03450_3EK"/>
    <x v="1"/>
    <x v="0"/>
    <x v="0"/>
    <x v="6"/>
    <x v="1"/>
    <x v="1"/>
    <x v="627"/>
    <x v="0"/>
    <x v="8"/>
    <x v="0"/>
    <n v="38730"/>
  </r>
  <r>
    <s v="CSKU03451_3EK"/>
    <x v="1"/>
    <x v="0"/>
    <x v="0"/>
    <x v="2"/>
    <x v="4"/>
    <x v="6"/>
    <x v="627"/>
    <x v="0"/>
    <x v="7"/>
    <x v="0"/>
    <n v="37390"/>
  </r>
  <r>
    <s v="CSKU02913_3EK"/>
    <x v="1"/>
    <x v="0"/>
    <x v="0"/>
    <x v="2"/>
    <x v="1"/>
    <x v="6"/>
    <x v="566"/>
    <x v="0"/>
    <x v="7"/>
    <x v="0"/>
    <n v="39890"/>
  </r>
  <r>
    <s v="CSKU02914_3EK"/>
    <x v="1"/>
    <x v="0"/>
    <x v="0"/>
    <x v="2"/>
    <x v="1"/>
    <x v="1"/>
    <x v="566"/>
    <x v="0"/>
    <x v="8"/>
    <x v="0"/>
    <n v="44020"/>
  </r>
  <r>
    <s v="CSKU02915_3EK"/>
    <x v="1"/>
    <x v="0"/>
    <x v="1"/>
    <x v="0"/>
    <x v="4"/>
    <x v="6"/>
    <x v="566"/>
    <x v="1"/>
    <x v="7"/>
    <x v="0"/>
    <n v="29050"/>
  </r>
  <r>
    <s v="CSKU02916_3EK"/>
    <x v="1"/>
    <x v="0"/>
    <x v="1"/>
    <x v="0"/>
    <x v="4"/>
    <x v="1"/>
    <x v="566"/>
    <x v="1"/>
    <x v="8"/>
    <x v="0"/>
    <n v="32250"/>
  </r>
  <r>
    <s v="CSKU02917_3EK"/>
    <x v="1"/>
    <x v="0"/>
    <x v="1"/>
    <x v="0"/>
    <x v="1"/>
    <x v="6"/>
    <x v="566"/>
    <x v="1"/>
    <x v="7"/>
    <x v="0"/>
    <n v="30900"/>
  </r>
  <r>
    <s v="CSKU02918_3EK"/>
    <x v="1"/>
    <x v="0"/>
    <x v="1"/>
    <x v="0"/>
    <x v="1"/>
    <x v="1"/>
    <x v="566"/>
    <x v="1"/>
    <x v="8"/>
    <x v="0"/>
    <n v="35110"/>
  </r>
  <r>
    <s v="CSKU02919_3EK"/>
    <x v="1"/>
    <x v="0"/>
    <x v="1"/>
    <x v="6"/>
    <x v="4"/>
    <x v="6"/>
    <x v="566"/>
    <x v="1"/>
    <x v="7"/>
    <x v="0"/>
    <n v="33950"/>
  </r>
  <r>
    <s v="CSKU02920_3EK"/>
    <x v="1"/>
    <x v="0"/>
    <x v="1"/>
    <x v="6"/>
    <x v="4"/>
    <x v="1"/>
    <x v="566"/>
    <x v="1"/>
    <x v="8"/>
    <x v="0"/>
    <n v="37160"/>
  </r>
  <r>
    <s v="CSKU02921_3EK"/>
    <x v="1"/>
    <x v="0"/>
    <x v="1"/>
    <x v="6"/>
    <x v="1"/>
    <x v="6"/>
    <x v="566"/>
    <x v="1"/>
    <x v="7"/>
    <x v="0"/>
    <n v="36160"/>
  </r>
  <r>
    <s v="CSKU02922_3EK"/>
    <x v="1"/>
    <x v="0"/>
    <x v="1"/>
    <x v="6"/>
    <x v="1"/>
    <x v="1"/>
    <x v="566"/>
    <x v="1"/>
    <x v="8"/>
    <x v="0"/>
    <n v="40630"/>
  </r>
  <r>
    <s v="CSKU03173_3EK"/>
    <x v="1"/>
    <x v="0"/>
    <x v="0"/>
    <x v="0"/>
    <x v="4"/>
    <x v="6"/>
    <x v="628"/>
    <x v="0"/>
    <x v="7"/>
    <x v="0"/>
    <n v="27730"/>
  </r>
  <r>
    <s v="CSKU03174_3EK"/>
    <x v="1"/>
    <x v="0"/>
    <x v="0"/>
    <x v="0"/>
    <x v="4"/>
    <x v="1"/>
    <x v="628"/>
    <x v="0"/>
    <x v="8"/>
    <x v="0"/>
    <n v="30600"/>
  </r>
  <r>
    <s v="CSKU03175_3EK"/>
    <x v="1"/>
    <x v="0"/>
    <x v="0"/>
    <x v="0"/>
    <x v="1"/>
    <x v="6"/>
    <x v="628"/>
    <x v="0"/>
    <x v="7"/>
    <x v="0"/>
    <n v="29550"/>
  </r>
  <r>
    <s v="CSKU03176_3EK"/>
    <x v="1"/>
    <x v="0"/>
    <x v="0"/>
    <x v="0"/>
    <x v="1"/>
    <x v="1"/>
    <x v="628"/>
    <x v="0"/>
    <x v="8"/>
    <x v="0"/>
    <n v="33320"/>
  </r>
  <r>
    <s v="CSKU03177_3EK"/>
    <x v="1"/>
    <x v="0"/>
    <x v="0"/>
    <x v="6"/>
    <x v="4"/>
    <x v="6"/>
    <x v="628"/>
    <x v="0"/>
    <x v="7"/>
    <x v="0"/>
    <n v="32560"/>
  </r>
  <r>
    <s v="CSKU03178_3EK"/>
    <x v="1"/>
    <x v="0"/>
    <x v="0"/>
    <x v="6"/>
    <x v="4"/>
    <x v="1"/>
    <x v="628"/>
    <x v="0"/>
    <x v="8"/>
    <x v="0"/>
    <n v="35430"/>
  </r>
  <r>
    <s v="CSKU03179_3EK"/>
    <x v="1"/>
    <x v="0"/>
    <x v="0"/>
    <x v="6"/>
    <x v="1"/>
    <x v="6"/>
    <x v="628"/>
    <x v="0"/>
    <x v="7"/>
    <x v="0"/>
    <n v="34740"/>
  </r>
  <r>
    <s v="CSKU03452_3EK"/>
    <x v="1"/>
    <x v="0"/>
    <x v="0"/>
    <x v="2"/>
    <x v="4"/>
    <x v="1"/>
    <x v="627"/>
    <x v="0"/>
    <x v="8"/>
    <x v="0"/>
    <n v="40400"/>
  </r>
  <r>
    <s v="CSKU03820_3EK"/>
    <x v="1"/>
    <x v="0"/>
    <x v="1"/>
    <x v="6"/>
    <x v="4"/>
    <x v="1"/>
    <x v="626"/>
    <x v="1"/>
    <x v="8"/>
    <x v="0"/>
    <n v="37160"/>
  </r>
  <r>
    <s v="CSKU03821_3EK"/>
    <x v="1"/>
    <x v="0"/>
    <x v="1"/>
    <x v="6"/>
    <x v="1"/>
    <x v="6"/>
    <x v="626"/>
    <x v="1"/>
    <x v="7"/>
    <x v="0"/>
    <n v="36160"/>
  </r>
  <r>
    <s v="CSKU03822_3EK"/>
    <x v="1"/>
    <x v="0"/>
    <x v="1"/>
    <x v="6"/>
    <x v="1"/>
    <x v="1"/>
    <x v="626"/>
    <x v="1"/>
    <x v="8"/>
    <x v="0"/>
    <n v="40630"/>
  </r>
  <r>
    <s v="CSKU03823_3EK"/>
    <x v="1"/>
    <x v="0"/>
    <x v="1"/>
    <x v="2"/>
    <x v="4"/>
    <x v="6"/>
    <x v="626"/>
    <x v="1"/>
    <x v="7"/>
    <x v="0"/>
    <n v="38870"/>
  </r>
  <r>
    <s v="CSKU03824_3EK"/>
    <x v="1"/>
    <x v="0"/>
    <x v="1"/>
    <x v="2"/>
    <x v="4"/>
    <x v="1"/>
    <x v="626"/>
    <x v="1"/>
    <x v="8"/>
    <x v="0"/>
    <n v="42250"/>
  </r>
  <r>
    <s v="CSKU03825_3EK"/>
    <x v="1"/>
    <x v="0"/>
    <x v="1"/>
    <x v="2"/>
    <x v="1"/>
    <x v="6"/>
    <x v="626"/>
    <x v="1"/>
    <x v="7"/>
    <x v="0"/>
    <n v="41400"/>
  </r>
  <r>
    <s v="CSKU03453_3EK"/>
    <x v="1"/>
    <x v="0"/>
    <x v="0"/>
    <x v="2"/>
    <x v="1"/>
    <x v="6"/>
    <x v="627"/>
    <x v="0"/>
    <x v="7"/>
    <x v="0"/>
    <n v="39890"/>
  </r>
  <r>
    <s v="CSKU03454_3EK"/>
    <x v="1"/>
    <x v="0"/>
    <x v="0"/>
    <x v="2"/>
    <x v="1"/>
    <x v="1"/>
    <x v="627"/>
    <x v="0"/>
    <x v="8"/>
    <x v="0"/>
    <n v="44020"/>
  </r>
  <r>
    <s v="CSKU03455_3EK"/>
    <x v="1"/>
    <x v="0"/>
    <x v="1"/>
    <x v="0"/>
    <x v="4"/>
    <x v="6"/>
    <x v="627"/>
    <x v="1"/>
    <x v="7"/>
    <x v="0"/>
    <n v="29050"/>
  </r>
  <r>
    <s v="CSKU03456_3EK"/>
    <x v="1"/>
    <x v="0"/>
    <x v="1"/>
    <x v="0"/>
    <x v="4"/>
    <x v="1"/>
    <x v="627"/>
    <x v="1"/>
    <x v="8"/>
    <x v="0"/>
    <n v="32250"/>
  </r>
  <r>
    <s v="CSKU03457_3EK"/>
    <x v="1"/>
    <x v="0"/>
    <x v="1"/>
    <x v="0"/>
    <x v="1"/>
    <x v="6"/>
    <x v="627"/>
    <x v="1"/>
    <x v="7"/>
    <x v="0"/>
    <n v="30900"/>
  </r>
  <r>
    <s v="CSKU03458_3EK"/>
    <x v="1"/>
    <x v="0"/>
    <x v="1"/>
    <x v="0"/>
    <x v="1"/>
    <x v="1"/>
    <x v="627"/>
    <x v="1"/>
    <x v="8"/>
    <x v="0"/>
    <n v="35110"/>
  </r>
  <r>
    <s v="CSKU03459_3EK"/>
    <x v="1"/>
    <x v="0"/>
    <x v="1"/>
    <x v="6"/>
    <x v="4"/>
    <x v="6"/>
    <x v="627"/>
    <x v="1"/>
    <x v="7"/>
    <x v="0"/>
    <n v="33950"/>
  </r>
  <r>
    <s v="CSKU03460_3EK"/>
    <x v="1"/>
    <x v="0"/>
    <x v="1"/>
    <x v="6"/>
    <x v="4"/>
    <x v="1"/>
    <x v="627"/>
    <x v="1"/>
    <x v="8"/>
    <x v="0"/>
    <n v="37160"/>
  </r>
  <r>
    <s v="CSKU03461_3EK"/>
    <x v="1"/>
    <x v="0"/>
    <x v="1"/>
    <x v="6"/>
    <x v="1"/>
    <x v="6"/>
    <x v="627"/>
    <x v="1"/>
    <x v="7"/>
    <x v="0"/>
    <n v="36160"/>
  </r>
  <r>
    <s v="CSKU03180_3EK"/>
    <x v="1"/>
    <x v="0"/>
    <x v="0"/>
    <x v="6"/>
    <x v="1"/>
    <x v="1"/>
    <x v="628"/>
    <x v="0"/>
    <x v="8"/>
    <x v="0"/>
    <n v="38730"/>
  </r>
  <r>
    <s v="CSKU03462_3EK"/>
    <x v="1"/>
    <x v="0"/>
    <x v="1"/>
    <x v="6"/>
    <x v="1"/>
    <x v="1"/>
    <x v="627"/>
    <x v="1"/>
    <x v="8"/>
    <x v="0"/>
    <n v="40630"/>
  </r>
  <r>
    <s v="CSKU03181_3EK"/>
    <x v="1"/>
    <x v="0"/>
    <x v="0"/>
    <x v="2"/>
    <x v="4"/>
    <x v="6"/>
    <x v="628"/>
    <x v="0"/>
    <x v="7"/>
    <x v="0"/>
    <n v="37390"/>
  </r>
  <r>
    <s v="CSKU03182_3EK"/>
    <x v="1"/>
    <x v="0"/>
    <x v="0"/>
    <x v="2"/>
    <x v="4"/>
    <x v="1"/>
    <x v="628"/>
    <x v="0"/>
    <x v="8"/>
    <x v="0"/>
    <n v="40400"/>
  </r>
  <r>
    <s v="CSKU03183_3EK"/>
    <x v="1"/>
    <x v="0"/>
    <x v="0"/>
    <x v="2"/>
    <x v="1"/>
    <x v="6"/>
    <x v="628"/>
    <x v="0"/>
    <x v="7"/>
    <x v="0"/>
    <n v="39890"/>
  </r>
  <r>
    <s v="CSKU03184_3EK"/>
    <x v="1"/>
    <x v="0"/>
    <x v="0"/>
    <x v="2"/>
    <x v="1"/>
    <x v="1"/>
    <x v="628"/>
    <x v="0"/>
    <x v="8"/>
    <x v="0"/>
    <n v="44020"/>
  </r>
  <r>
    <s v="CSKU03185_3EK"/>
    <x v="1"/>
    <x v="0"/>
    <x v="1"/>
    <x v="0"/>
    <x v="4"/>
    <x v="6"/>
    <x v="628"/>
    <x v="1"/>
    <x v="7"/>
    <x v="0"/>
    <n v="29050"/>
  </r>
  <r>
    <s v="CSKU03186_3EK"/>
    <x v="1"/>
    <x v="0"/>
    <x v="1"/>
    <x v="0"/>
    <x v="4"/>
    <x v="1"/>
    <x v="628"/>
    <x v="1"/>
    <x v="8"/>
    <x v="0"/>
    <n v="32250"/>
  </r>
  <r>
    <s v="CSKU03187_3EK"/>
    <x v="1"/>
    <x v="0"/>
    <x v="1"/>
    <x v="0"/>
    <x v="1"/>
    <x v="6"/>
    <x v="628"/>
    <x v="1"/>
    <x v="7"/>
    <x v="0"/>
    <n v="30900"/>
  </r>
  <r>
    <s v="CSKU03188_3EK"/>
    <x v="1"/>
    <x v="0"/>
    <x v="1"/>
    <x v="0"/>
    <x v="1"/>
    <x v="1"/>
    <x v="628"/>
    <x v="1"/>
    <x v="8"/>
    <x v="0"/>
    <n v="35110"/>
  </r>
  <r>
    <s v="CSKU03189_3EK"/>
    <x v="1"/>
    <x v="0"/>
    <x v="1"/>
    <x v="6"/>
    <x v="4"/>
    <x v="6"/>
    <x v="628"/>
    <x v="1"/>
    <x v="7"/>
    <x v="0"/>
    <n v="33950"/>
  </r>
  <r>
    <s v="CSKU03463_3EK"/>
    <x v="1"/>
    <x v="0"/>
    <x v="1"/>
    <x v="2"/>
    <x v="4"/>
    <x v="6"/>
    <x v="627"/>
    <x v="1"/>
    <x v="7"/>
    <x v="0"/>
    <n v="38870"/>
  </r>
  <r>
    <s v="CSKU03464_3EK"/>
    <x v="1"/>
    <x v="0"/>
    <x v="1"/>
    <x v="2"/>
    <x v="4"/>
    <x v="1"/>
    <x v="627"/>
    <x v="1"/>
    <x v="8"/>
    <x v="0"/>
    <n v="42250"/>
  </r>
  <r>
    <s v="CSKU03465_3EK"/>
    <x v="1"/>
    <x v="0"/>
    <x v="1"/>
    <x v="2"/>
    <x v="1"/>
    <x v="6"/>
    <x v="627"/>
    <x v="1"/>
    <x v="7"/>
    <x v="0"/>
    <n v="41400"/>
  </r>
  <r>
    <s v="CSKU03466_3EK"/>
    <x v="1"/>
    <x v="0"/>
    <x v="1"/>
    <x v="2"/>
    <x v="1"/>
    <x v="1"/>
    <x v="627"/>
    <x v="1"/>
    <x v="8"/>
    <x v="0"/>
    <n v="46040"/>
  </r>
  <r>
    <s v="CSKU03095_3EK"/>
    <x v="1"/>
    <x v="0"/>
    <x v="1"/>
    <x v="0"/>
    <x v="4"/>
    <x v="6"/>
    <x v="13"/>
    <x v="1"/>
    <x v="7"/>
    <x v="0"/>
    <n v="29050"/>
  </r>
  <r>
    <s v="CSKU03190_3EK"/>
    <x v="1"/>
    <x v="0"/>
    <x v="1"/>
    <x v="6"/>
    <x v="4"/>
    <x v="1"/>
    <x v="628"/>
    <x v="1"/>
    <x v="8"/>
    <x v="0"/>
    <n v="37160"/>
  </r>
  <r>
    <s v="CSKU03191_3EK"/>
    <x v="1"/>
    <x v="0"/>
    <x v="1"/>
    <x v="6"/>
    <x v="1"/>
    <x v="6"/>
    <x v="628"/>
    <x v="1"/>
    <x v="7"/>
    <x v="0"/>
    <n v="36160"/>
  </r>
  <r>
    <s v="CSKU03192_3EK"/>
    <x v="1"/>
    <x v="0"/>
    <x v="1"/>
    <x v="6"/>
    <x v="1"/>
    <x v="1"/>
    <x v="628"/>
    <x v="1"/>
    <x v="8"/>
    <x v="0"/>
    <n v="40630"/>
  </r>
  <r>
    <s v="CSKU03193_3EK"/>
    <x v="1"/>
    <x v="0"/>
    <x v="1"/>
    <x v="2"/>
    <x v="4"/>
    <x v="6"/>
    <x v="628"/>
    <x v="1"/>
    <x v="7"/>
    <x v="0"/>
    <n v="38870"/>
  </r>
  <r>
    <s v="CSKU03194_3EK"/>
    <x v="1"/>
    <x v="0"/>
    <x v="1"/>
    <x v="2"/>
    <x v="4"/>
    <x v="1"/>
    <x v="628"/>
    <x v="1"/>
    <x v="8"/>
    <x v="0"/>
    <n v="42250"/>
  </r>
  <r>
    <s v="CSKU03195_3EK"/>
    <x v="1"/>
    <x v="0"/>
    <x v="1"/>
    <x v="2"/>
    <x v="1"/>
    <x v="6"/>
    <x v="628"/>
    <x v="1"/>
    <x v="7"/>
    <x v="0"/>
    <n v="41400"/>
  </r>
  <r>
    <s v="CSKU03196_3EK"/>
    <x v="1"/>
    <x v="0"/>
    <x v="1"/>
    <x v="2"/>
    <x v="1"/>
    <x v="1"/>
    <x v="628"/>
    <x v="1"/>
    <x v="8"/>
    <x v="0"/>
    <n v="46040"/>
  </r>
  <r>
    <s v="CSKU02649_3EK"/>
    <x v="1"/>
    <x v="0"/>
    <x v="1"/>
    <x v="6"/>
    <x v="4"/>
    <x v="6"/>
    <x v="537"/>
    <x v="1"/>
    <x v="7"/>
    <x v="0"/>
    <n v="26930"/>
  </r>
  <r>
    <s v="CSKU02650_3EK"/>
    <x v="1"/>
    <x v="0"/>
    <x v="1"/>
    <x v="6"/>
    <x v="4"/>
    <x v="1"/>
    <x v="537"/>
    <x v="1"/>
    <x v="8"/>
    <x v="0"/>
    <n v="30140"/>
  </r>
  <r>
    <s v="CSKU02651_3EK"/>
    <x v="1"/>
    <x v="0"/>
    <x v="1"/>
    <x v="6"/>
    <x v="1"/>
    <x v="6"/>
    <x v="537"/>
    <x v="1"/>
    <x v="7"/>
    <x v="0"/>
    <n v="28700"/>
  </r>
  <r>
    <s v="CSKU02652_3EK"/>
    <x v="1"/>
    <x v="0"/>
    <x v="1"/>
    <x v="6"/>
    <x v="1"/>
    <x v="1"/>
    <x v="537"/>
    <x v="1"/>
    <x v="8"/>
    <x v="0"/>
    <n v="33170"/>
  </r>
  <r>
    <s v="CSKU02653_3EK"/>
    <x v="1"/>
    <x v="0"/>
    <x v="1"/>
    <x v="2"/>
    <x v="4"/>
    <x v="6"/>
    <x v="537"/>
    <x v="1"/>
    <x v="7"/>
    <x v="0"/>
    <n v="30420"/>
  </r>
  <r>
    <s v="CSKU02654_3EK"/>
    <x v="1"/>
    <x v="0"/>
    <x v="1"/>
    <x v="2"/>
    <x v="4"/>
    <x v="1"/>
    <x v="537"/>
    <x v="1"/>
    <x v="8"/>
    <x v="0"/>
    <n v="33800"/>
  </r>
  <r>
    <s v="CSKU02655_3EK"/>
    <x v="1"/>
    <x v="0"/>
    <x v="1"/>
    <x v="2"/>
    <x v="1"/>
    <x v="6"/>
    <x v="537"/>
    <x v="1"/>
    <x v="7"/>
    <x v="0"/>
    <n v="32130"/>
  </r>
  <r>
    <s v="CSKU02656_3EK"/>
    <x v="1"/>
    <x v="0"/>
    <x v="1"/>
    <x v="2"/>
    <x v="1"/>
    <x v="1"/>
    <x v="537"/>
    <x v="1"/>
    <x v="8"/>
    <x v="0"/>
    <n v="36770"/>
  </r>
  <r>
    <s v="CSKU02923_3EK"/>
    <x v="1"/>
    <x v="0"/>
    <x v="1"/>
    <x v="2"/>
    <x v="4"/>
    <x v="6"/>
    <x v="566"/>
    <x v="1"/>
    <x v="7"/>
    <x v="0"/>
    <n v="38870"/>
  </r>
  <r>
    <s v="CSKU02813_3EK"/>
    <x v="1"/>
    <x v="0"/>
    <x v="0"/>
    <x v="0"/>
    <x v="4"/>
    <x v="6"/>
    <x v="629"/>
    <x v="0"/>
    <x v="7"/>
    <x v="0"/>
    <n v="27730"/>
  </r>
  <r>
    <s v="CSKU02814_3EK"/>
    <x v="1"/>
    <x v="0"/>
    <x v="0"/>
    <x v="0"/>
    <x v="4"/>
    <x v="1"/>
    <x v="629"/>
    <x v="0"/>
    <x v="8"/>
    <x v="0"/>
    <n v="30600"/>
  </r>
  <r>
    <s v="CSKU02815_3EK"/>
    <x v="1"/>
    <x v="0"/>
    <x v="0"/>
    <x v="0"/>
    <x v="1"/>
    <x v="6"/>
    <x v="629"/>
    <x v="0"/>
    <x v="7"/>
    <x v="0"/>
    <n v="29550"/>
  </r>
  <r>
    <s v="CSKU02816_3EK"/>
    <x v="1"/>
    <x v="0"/>
    <x v="0"/>
    <x v="0"/>
    <x v="1"/>
    <x v="1"/>
    <x v="629"/>
    <x v="0"/>
    <x v="8"/>
    <x v="0"/>
    <n v="33320"/>
  </r>
  <r>
    <s v="CSKU02817_3EK"/>
    <x v="1"/>
    <x v="0"/>
    <x v="0"/>
    <x v="6"/>
    <x v="4"/>
    <x v="6"/>
    <x v="629"/>
    <x v="0"/>
    <x v="7"/>
    <x v="0"/>
    <n v="32560"/>
  </r>
  <r>
    <s v="CSKU02818_3EK"/>
    <x v="1"/>
    <x v="0"/>
    <x v="0"/>
    <x v="6"/>
    <x v="4"/>
    <x v="1"/>
    <x v="629"/>
    <x v="0"/>
    <x v="8"/>
    <x v="0"/>
    <n v="35430"/>
  </r>
  <r>
    <s v="CSKU02924_3EK"/>
    <x v="1"/>
    <x v="0"/>
    <x v="1"/>
    <x v="2"/>
    <x v="4"/>
    <x v="1"/>
    <x v="566"/>
    <x v="1"/>
    <x v="8"/>
    <x v="0"/>
    <n v="42250"/>
  </r>
  <r>
    <s v="CSKU02925_3EK"/>
    <x v="1"/>
    <x v="0"/>
    <x v="1"/>
    <x v="2"/>
    <x v="1"/>
    <x v="6"/>
    <x v="566"/>
    <x v="1"/>
    <x v="7"/>
    <x v="0"/>
    <n v="41400"/>
  </r>
  <r>
    <s v="CSKU02926_3EK"/>
    <x v="1"/>
    <x v="0"/>
    <x v="1"/>
    <x v="2"/>
    <x v="1"/>
    <x v="1"/>
    <x v="566"/>
    <x v="1"/>
    <x v="8"/>
    <x v="0"/>
    <n v="46040"/>
  </r>
  <r>
    <s v="CSKU03083_3EK"/>
    <x v="1"/>
    <x v="0"/>
    <x v="0"/>
    <x v="0"/>
    <x v="4"/>
    <x v="6"/>
    <x v="13"/>
    <x v="0"/>
    <x v="7"/>
    <x v="0"/>
    <n v="27730"/>
  </r>
  <r>
    <s v="CSKU03084_3EK"/>
    <x v="1"/>
    <x v="0"/>
    <x v="0"/>
    <x v="0"/>
    <x v="4"/>
    <x v="1"/>
    <x v="13"/>
    <x v="0"/>
    <x v="8"/>
    <x v="0"/>
    <n v="30600"/>
  </r>
  <r>
    <s v="CSKU02544_3EK"/>
    <x v="1"/>
    <x v="0"/>
    <x v="0"/>
    <x v="0"/>
    <x v="4"/>
    <x v="6"/>
    <x v="630"/>
    <x v="0"/>
    <x v="7"/>
    <x v="0"/>
    <n v="20380"/>
  </r>
  <r>
    <s v="CSKU02819_3EK"/>
    <x v="1"/>
    <x v="0"/>
    <x v="0"/>
    <x v="6"/>
    <x v="1"/>
    <x v="6"/>
    <x v="629"/>
    <x v="0"/>
    <x v="7"/>
    <x v="0"/>
    <n v="34740"/>
  </r>
  <r>
    <s v="CSKU02545_3EK"/>
    <x v="1"/>
    <x v="0"/>
    <x v="0"/>
    <x v="0"/>
    <x v="4"/>
    <x v="1"/>
    <x v="630"/>
    <x v="0"/>
    <x v="8"/>
    <x v="0"/>
    <n v="23250"/>
  </r>
  <r>
    <s v="CSKU02546_3EK"/>
    <x v="1"/>
    <x v="0"/>
    <x v="0"/>
    <x v="0"/>
    <x v="1"/>
    <x v="6"/>
    <x v="630"/>
    <x v="0"/>
    <x v="7"/>
    <x v="0"/>
    <n v="21590"/>
  </r>
  <r>
    <s v="CSKU02547_3EK"/>
    <x v="1"/>
    <x v="0"/>
    <x v="0"/>
    <x v="0"/>
    <x v="1"/>
    <x v="1"/>
    <x v="630"/>
    <x v="0"/>
    <x v="8"/>
    <x v="0"/>
    <n v="25360"/>
  </r>
  <r>
    <s v="CSKU02548_3EK"/>
    <x v="1"/>
    <x v="0"/>
    <x v="0"/>
    <x v="6"/>
    <x v="4"/>
    <x v="6"/>
    <x v="630"/>
    <x v="0"/>
    <x v="7"/>
    <x v="0"/>
    <n v="23830"/>
  </r>
  <r>
    <s v="CSKU02549_3EK"/>
    <x v="1"/>
    <x v="0"/>
    <x v="0"/>
    <x v="6"/>
    <x v="4"/>
    <x v="1"/>
    <x v="630"/>
    <x v="0"/>
    <x v="8"/>
    <x v="0"/>
    <n v="26700"/>
  </r>
  <r>
    <s v="CSKU02550_3EK"/>
    <x v="1"/>
    <x v="0"/>
    <x v="0"/>
    <x v="6"/>
    <x v="1"/>
    <x v="6"/>
    <x v="630"/>
    <x v="0"/>
    <x v="7"/>
    <x v="0"/>
    <n v="25420"/>
  </r>
  <r>
    <s v="CSKU02551_3EK"/>
    <x v="1"/>
    <x v="0"/>
    <x v="0"/>
    <x v="6"/>
    <x v="1"/>
    <x v="1"/>
    <x v="630"/>
    <x v="0"/>
    <x v="8"/>
    <x v="0"/>
    <n v="29410"/>
  </r>
  <r>
    <s v="CSKU02552_3EK"/>
    <x v="1"/>
    <x v="0"/>
    <x v="0"/>
    <x v="2"/>
    <x v="4"/>
    <x v="6"/>
    <x v="630"/>
    <x v="0"/>
    <x v="7"/>
    <x v="0"/>
    <n v="26850"/>
  </r>
  <r>
    <s v="CSKU02553_3EK"/>
    <x v="1"/>
    <x v="0"/>
    <x v="0"/>
    <x v="2"/>
    <x v="4"/>
    <x v="1"/>
    <x v="630"/>
    <x v="0"/>
    <x v="8"/>
    <x v="0"/>
    <n v="29860"/>
  </r>
  <r>
    <s v="CSKU02554_3EK"/>
    <x v="1"/>
    <x v="0"/>
    <x v="0"/>
    <x v="2"/>
    <x v="1"/>
    <x v="6"/>
    <x v="630"/>
    <x v="0"/>
    <x v="7"/>
    <x v="0"/>
    <n v="28460"/>
  </r>
  <r>
    <s v="CSKU02555_3EK"/>
    <x v="1"/>
    <x v="0"/>
    <x v="0"/>
    <x v="2"/>
    <x v="1"/>
    <x v="1"/>
    <x v="630"/>
    <x v="0"/>
    <x v="8"/>
    <x v="0"/>
    <n v="32590"/>
  </r>
  <r>
    <s v="CSKU02820_3EK"/>
    <x v="1"/>
    <x v="0"/>
    <x v="0"/>
    <x v="6"/>
    <x v="1"/>
    <x v="1"/>
    <x v="629"/>
    <x v="0"/>
    <x v="8"/>
    <x v="0"/>
    <n v="38730"/>
  </r>
  <r>
    <s v="CSKU02821_3EK"/>
    <x v="1"/>
    <x v="0"/>
    <x v="0"/>
    <x v="2"/>
    <x v="4"/>
    <x v="6"/>
    <x v="629"/>
    <x v="0"/>
    <x v="7"/>
    <x v="0"/>
    <n v="37390"/>
  </r>
  <r>
    <s v="CSKU02822_3EK"/>
    <x v="1"/>
    <x v="0"/>
    <x v="0"/>
    <x v="2"/>
    <x v="4"/>
    <x v="1"/>
    <x v="629"/>
    <x v="0"/>
    <x v="8"/>
    <x v="0"/>
    <n v="40400"/>
  </r>
  <r>
    <s v="CSKU02823_3EK"/>
    <x v="1"/>
    <x v="0"/>
    <x v="0"/>
    <x v="2"/>
    <x v="1"/>
    <x v="6"/>
    <x v="629"/>
    <x v="0"/>
    <x v="7"/>
    <x v="0"/>
    <n v="39890"/>
  </r>
  <r>
    <s v="CSKU02824_3EK"/>
    <x v="1"/>
    <x v="0"/>
    <x v="0"/>
    <x v="2"/>
    <x v="1"/>
    <x v="1"/>
    <x v="629"/>
    <x v="0"/>
    <x v="8"/>
    <x v="0"/>
    <n v="44020"/>
  </r>
  <r>
    <s v="CSKU02825_3EK"/>
    <x v="1"/>
    <x v="0"/>
    <x v="1"/>
    <x v="0"/>
    <x v="4"/>
    <x v="6"/>
    <x v="629"/>
    <x v="1"/>
    <x v="7"/>
    <x v="0"/>
    <n v="29050"/>
  </r>
  <r>
    <s v="CSKU02826_3EK"/>
    <x v="1"/>
    <x v="0"/>
    <x v="1"/>
    <x v="0"/>
    <x v="4"/>
    <x v="1"/>
    <x v="629"/>
    <x v="1"/>
    <x v="8"/>
    <x v="0"/>
    <n v="32250"/>
  </r>
  <r>
    <s v="CSKU02827_3EK"/>
    <x v="1"/>
    <x v="0"/>
    <x v="1"/>
    <x v="0"/>
    <x v="1"/>
    <x v="6"/>
    <x v="629"/>
    <x v="1"/>
    <x v="7"/>
    <x v="0"/>
    <n v="30900"/>
  </r>
  <r>
    <s v="CSKU02828_3EK"/>
    <x v="1"/>
    <x v="0"/>
    <x v="1"/>
    <x v="0"/>
    <x v="1"/>
    <x v="1"/>
    <x v="629"/>
    <x v="1"/>
    <x v="8"/>
    <x v="0"/>
    <n v="35110"/>
  </r>
  <r>
    <s v="CSKU02829_3EK"/>
    <x v="1"/>
    <x v="0"/>
    <x v="1"/>
    <x v="6"/>
    <x v="4"/>
    <x v="6"/>
    <x v="629"/>
    <x v="1"/>
    <x v="7"/>
    <x v="0"/>
    <n v="33950"/>
  </r>
  <r>
    <s v="CSKU03085_3EK"/>
    <x v="1"/>
    <x v="0"/>
    <x v="0"/>
    <x v="0"/>
    <x v="1"/>
    <x v="6"/>
    <x v="13"/>
    <x v="0"/>
    <x v="7"/>
    <x v="0"/>
    <n v="29550"/>
  </r>
  <r>
    <s v="CSKU03086_3EK"/>
    <x v="1"/>
    <x v="0"/>
    <x v="0"/>
    <x v="0"/>
    <x v="1"/>
    <x v="1"/>
    <x v="13"/>
    <x v="0"/>
    <x v="8"/>
    <x v="0"/>
    <n v="33320"/>
  </r>
  <r>
    <s v="CSKU03087_3EK"/>
    <x v="1"/>
    <x v="0"/>
    <x v="0"/>
    <x v="6"/>
    <x v="4"/>
    <x v="6"/>
    <x v="13"/>
    <x v="0"/>
    <x v="7"/>
    <x v="0"/>
    <n v="32560"/>
  </r>
  <r>
    <s v="CSKU03088_3EK"/>
    <x v="1"/>
    <x v="0"/>
    <x v="0"/>
    <x v="6"/>
    <x v="4"/>
    <x v="1"/>
    <x v="13"/>
    <x v="0"/>
    <x v="8"/>
    <x v="0"/>
    <n v="35430"/>
  </r>
  <r>
    <s v="CSKU03089_3EK"/>
    <x v="1"/>
    <x v="0"/>
    <x v="0"/>
    <x v="6"/>
    <x v="1"/>
    <x v="6"/>
    <x v="13"/>
    <x v="0"/>
    <x v="7"/>
    <x v="0"/>
    <n v="34740"/>
  </r>
  <r>
    <s v="CSKU03090_3EK"/>
    <x v="1"/>
    <x v="0"/>
    <x v="0"/>
    <x v="6"/>
    <x v="1"/>
    <x v="1"/>
    <x v="13"/>
    <x v="0"/>
    <x v="8"/>
    <x v="0"/>
    <n v="38730"/>
  </r>
  <r>
    <s v="CSKU03091_3EK"/>
    <x v="1"/>
    <x v="0"/>
    <x v="0"/>
    <x v="2"/>
    <x v="4"/>
    <x v="6"/>
    <x v="13"/>
    <x v="0"/>
    <x v="7"/>
    <x v="0"/>
    <n v="37390"/>
  </r>
  <r>
    <s v="CSKU03092_3EK"/>
    <x v="1"/>
    <x v="0"/>
    <x v="0"/>
    <x v="2"/>
    <x v="4"/>
    <x v="1"/>
    <x v="13"/>
    <x v="0"/>
    <x v="8"/>
    <x v="0"/>
    <n v="40400"/>
  </r>
  <r>
    <s v="CSKU03093_3EK"/>
    <x v="1"/>
    <x v="0"/>
    <x v="0"/>
    <x v="2"/>
    <x v="1"/>
    <x v="6"/>
    <x v="13"/>
    <x v="0"/>
    <x v="7"/>
    <x v="0"/>
    <n v="39890"/>
  </r>
  <r>
    <s v="CSKU03094_3EK"/>
    <x v="1"/>
    <x v="0"/>
    <x v="0"/>
    <x v="2"/>
    <x v="1"/>
    <x v="1"/>
    <x v="13"/>
    <x v="0"/>
    <x v="8"/>
    <x v="0"/>
    <n v="44020"/>
  </r>
  <r>
    <s v="CSKU02096_2EK"/>
    <x v="1"/>
    <x v="1"/>
    <x v="0"/>
    <x v="1"/>
    <x v="1"/>
    <x v="6"/>
    <x v="568"/>
    <x v="0"/>
    <x v="5"/>
    <x v="0"/>
    <n v="21470"/>
  </r>
  <r>
    <s v="CSKU02097_2EK"/>
    <x v="1"/>
    <x v="1"/>
    <x v="0"/>
    <x v="1"/>
    <x v="1"/>
    <x v="1"/>
    <x v="568"/>
    <x v="0"/>
    <x v="6"/>
    <x v="0"/>
    <n v="23830"/>
  </r>
  <r>
    <s v="CSKU02098_2EK"/>
    <x v="1"/>
    <x v="1"/>
    <x v="0"/>
    <x v="5"/>
    <x v="4"/>
    <x v="6"/>
    <x v="568"/>
    <x v="0"/>
    <x v="5"/>
    <x v="0"/>
    <n v="22780"/>
  </r>
  <r>
    <s v="CSKU02099_2EK"/>
    <x v="1"/>
    <x v="1"/>
    <x v="0"/>
    <x v="5"/>
    <x v="4"/>
    <x v="1"/>
    <x v="568"/>
    <x v="0"/>
    <x v="6"/>
    <x v="0"/>
    <n v="25030"/>
  </r>
  <r>
    <s v="CSKU02100_2EK"/>
    <x v="1"/>
    <x v="1"/>
    <x v="0"/>
    <x v="5"/>
    <x v="1"/>
    <x v="6"/>
    <x v="568"/>
    <x v="0"/>
    <x v="5"/>
    <x v="0"/>
    <n v="24190"/>
  </r>
  <r>
    <s v="CSKU02101_2EK"/>
    <x v="1"/>
    <x v="1"/>
    <x v="0"/>
    <x v="5"/>
    <x v="1"/>
    <x v="1"/>
    <x v="568"/>
    <x v="0"/>
    <x v="6"/>
    <x v="0"/>
    <n v="27270"/>
  </r>
  <r>
    <s v="CSKU02102_2EK"/>
    <x v="1"/>
    <x v="1"/>
    <x v="0"/>
    <x v="4"/>
    <x v="4"/>
    <x v="6"/>
    <x v="568"/>
    <x v="0"/>
    <x v="5"/>
    <x v="0"/>
    <n v="25020"/>
  </r>
  <r>
    <s v="CSKU02103_2EK"/>
    <x v="1"/>
    <x v="1"/>
    <x v="0"/>
    <x v="4"/>
    <x v="4"/>
    <x v="1"/>
    <x v="568"/>
    <x v="0"/>
    <x v="6"/>
    <x v="0"/>
    <n v="27450"/>
  </r>
  <r>
    <s v="CSKU02104_2EK"/>
    <x v="1"/>
    <x v="1"/>
    <x v="0"/>
    <x v="4"/>
    <x v="1"/>
    <x v="6"/>
    <x v="568"/>
    <x v="0"/>
    <x v="5"/>
    <x v="0"/>
    <n v="26610"/>
  </r>
  <r>
    <s v="CSKU02105_2EK"/>
    <x v="1"/>
    <x v="1"/>
    <x v="0"/>
    <x v="4"/>
    <x v="1"/>
    <x v="1"/>
    <x v="568"/>
    <x v="0"/>
    <x v="6"/>
    <x v="0"/>
    <n v="29880"/>
  </r>
  <r>
    <s v="CSKU02106_2EK"/>
    <x v="1"/>
    <x v="1"/>
    <x v="1"/>
    <x v="1"/>
    <x v="4"/>
    <x v="6"/>
    <x v="568"/>
    <x v="1"/>
    <x v="5"/>
    <x v="0"/>
    <n v="20860"/>
  </r>
  <r>
    <s v="CSKU02461_3EK"/>
    <x v="1"/>
    <x v="0"/>
    <x v="0"/>
    <x v="6"/>
    <x v="1"/>
    <x v="6"/>
    <x v="569"/>
    <x v="0"/>
    <x v="7"/>
    <x v="0"/>
    <n v="26940"/>
  </r>
  <r>
    <s v="CSKU02462_3EK"/>
    <x v="1"/>
    <x v="0"/>
    <x v="0"/>
    <x v="6"/>
    <x v="1"/>
    <x v="1"/>
    <x v="569"/>
    <x v="0"/>
    <x v="8"/>
    <x v="0"/>
    <n v="30930"/>
  </r>
  <r>
    <s v="CSKU02463_3EK"/>
    <x v="1"/>
    <x v="0"/>
    <x v="0"/>
    <x v="2"/>
    <x v="4"/>
    <x v="6"/>
    <x v="569"/>
    <x v="0"/>
    <x v="7"/>
    <x v="0"/>
    <n v="28670"/>
  </r>
  <r>
    <s v="CSKU02464_3EK"/>
    <x v="1"/>
    <x v="0"/>
    <x v="0"/>
    <x v="2"/>
    <x v="4"/>
    <x v="1"/>
    <x v="569"/>
    <x v="0"/>
    <x v="8"/>
    <x v="0"/>
    <n v="31680"/>
  </r>
  <r>
    <s v="CSKU02465_3EK"/>
    <x v="1"/>
    <x v="0"/>
    <x v="0"/>
    <x v="2"/>
    <x v="1"/>
    <x v="6"/>
    <x v="569"/>
    <x v="0"/>
    <x v="7"/>
    <x v="0"/>
    <n v="30260"/>
  </r>
  <r>
    <s v="CSKU02466_3EK"/>
    <x v="1"/>
    <x v="0"/>
    <x v="0"/>
    <x v="2"/>
    <x v="1"/>
    <x v="1"/>
    <x v="569"/>
    <x v="0"/>
    <x v="8"/>
    <x v="0"/>
    <n v="34390"/>
  </r>
  <r>
    <s v="CSKU02467_3EK"/>
    <x v="1"/>
    <x v="0"/>
    <x v="1"/>
    <x v="0"/>
    <x v="4"/>
    <x v="6"/>
    <x v="569"/>
    <x v="1"/>
    <x v="7"/>
    <x v="0"/>
    <n v="23880"/>
  </r>
  <r>
    <s v="CSKU02468_3EK"/>
    <x v="1"/>
    <x v="0"/>
    <x v="1"/>
    <x v="0"/>
    <x v="4"/>
    <x v="1"/>
    <x v="569"/>
    <x v="1"/>
    <x v="8"/>
    <x v="0"/>
    <n v="27080"/>
  </r>
  <r>
    <s v="CSKU02469_3EK"/>
    <x v="1"/>
    <x v="0"/>
    <x v="1"/>
    <x v="0"/>
    <x v="1"/>
    <x v="6"/>
    <x v="569"/>
    <x v="1"/>
    <x v="7"/>
    <x v="0"/>
    <n v="25460"/>
  </r>
  <r>
    <s v="CSKU02470_3EK"/>
    <x v="1"/>
    <x v="0"/>
    <x v="1"/>
    <x v="0"/>
    <x v="1"/>
    <x v="1"/>
    <x v="569"/>
    <x v="1"/>
    <x v="8"/>
    <x v="0"/>
    <n v="29670"/>
  </r>
  <r>
    <s v="CSKU02471_3EK"/>
    <x v="1"/>
    <x v="0"/>
    <x v="1"/>
    <x v="6"/>
    <x v="4"/>
    <x v="6"/>
    <x v="569"/>
    <x v="1"/>
    <x v="7"/>
    <x v="0"/>
    <n v="27200"/>
  </r>
  <r>
    <s v="CSKU02472_3EK"/>
    <x v="1"/>
    <x v="0"/>
    <x v="1"/>
    <x v="6"/>
    <x v="4"/>
    <x v="1"/>
    <x v="569"/>
    <x v="1"/>
    <x v="8"/>
    <x v="0"/>
    <n v="30410"/>
  </r>
  <r>
    <s v="CSKU02556_3EK"/>
    <x v="1"/>
    <x v="0"/>
    <x v="1"/>
    <x v="0"/>
    <x v="4"/>
    <x v="6"/>
    <x v="630"/>
    <x v="1"/>
    <x v="7"/>
    <x v="0"/>
    <n v="22840"/>
  </r>
  <r>
    <s v="CSKU02830_3EK"/>
    <x v="1"/>
    <x v="0"/>
    <x v="1"/>
    <x v="6"/>
    <x v="4"/>
    <x v="1"/>
    <x v="629"/>
    <x v="1"/>
    <x v="8"/>
    <x v="0"/>
    <n v="37160"/>
  </r>
  <r>
    <s v="CSKU02365_3EK"/>
    <x v="1"/>
    <x v="0"/>
    <x v="0"/>
    <x v="0"/>
    <x v="4"/>
    <x v="6"/>
    <x v="11"/>
    <x v="0"/>
    <x v="7"/>
    <x v="0"/>
    <n v="23080"/>
  </r>
  <r>
    <s v="CSKU02366_3EK"/>
    <x v="1"/>
    <x v="0"/>
    <x v="0"/>
    <x v="0"/>
    <x v="4"/>
    <x v="1"/>
    <x v="11"/>
    <x v="0"/>
    <x v="8"/>
    <x v="0"/>
    <n v="25950"/>
  </r>
  <r>
    <s v="CSKU02367_3EK"/>
    <x v="1"/>
    <x v="0"/>
    <x v="0"/>
    <x v="0"/>
    <x v="1"/>
    <x v="6"/>
    <x v="11"/>
    <x v="0"/>
    <x v="7"/>
    <x v="0"/>
    <n v="24740"/>
  </r>
  <r>
    <s v="CSKU02368_3EK"/>
    <x v="1"/>
    <x v="0"/>
    <x v="0"/>
    <x v="0"/>
    <x v="1"/>
    <x v="1"/>
    <x v="11"/>
    <x v="0"/>
    <x v="8"/>
    <x v="0"/>
    <n v="28510"/>
  </r>
  <r>
    <s v="CSKU02369_3EK"/>
    <x v="1"/>
    <x v="0"/>
    <x v="0"/>
    <x v="6"/>
    <x v="4"/>
    <x v="6"/>
    <x v="11"/>
    <x v="0"/>
    <x v="7"/>
    <x v="0"/>
    <n v="26080"/>
  </r>
  <r>
    <s v="CSKU02370_3EK"/>
    <x v="1"/>
    <x v="0"/>
    <x v="0"/>
    <x v="6"/>
    <x v="4"/>
    <x v="1"/>
    <x v="11"/>
    <x v="0"/>
    <x v="8"/>
    <x v="0"/>
    <n v="28950"/>
  </r>
  <r>
    <s v="CSKU02473_3EK"/>
    <x v="1"/>
    <x v="0"/>
    <x v="1"/>
    <x v="6"/>
    <x v="1"/>
    <x v="6"/>
    <x v="569"/>
    <x v="1"/>
    <x v="7"/>
    <x v="0"/>
    <n v="28910"/>
  </r>
  <r>
    <s v="CSKU02474_3EK"/>
    <x v="1"/>
    <x v="0"/>
    <x v="1"/>
    <x v="6"/>
    <x v="1"/>
    <x v="1"/>
    <x v="569"/>
    <x v="1"/>
    <x v="8"/>
    <x v="0"/>
    <n v="33380"/>
  </r>
  <r>
    <s v="CSKU02475_3EK"/>
    <x v="1"/>
    <x v="0"/>
    <x v="1"/>
    <x v="2"/>
    <x v="4"/>
    <x v="6"/>
    <x v="569"/>
    <x v="1"/>
    <x v="7"/>
    <x v="0"/>
    <n v="30740"/>
  </r>
  <r>
    <s v="CSKU02476_3EK"/>
    <x v="1"/>
    <x v="0"/>
    <x v="1"/>
    <x v="2"/>
    <x v="4"/>
    <x v="1"/>
    <x v="569"/>
    <x v="1"/>
    <x v="8"/>
    <x v="0"/>
    <n v="34120"/>
  </r>
  <r>
    <s v="CSKU02477_3EK"/>
    <x v="1"/>
    <x v="0"/>
    <x v="1"/>
    <x v="2"/>
    <x v="1"/>
    <x v="6"/>
    <x v="569"/>
    <x v="1"/>
    <x v="7"/>
    <x v="0"/>
    <n v="32400"/>
  </r>
  <r>
    <s v="CSKU02478_3EK"/>
    <x v="1"/>
    <x v="0"/>
    <x v="1"/>
    <x v="2"/>
    <x v="1"/>
    <x v="1"/>
    <x v="569"/>
    <x v="1"/>
    <x v="8"/>
    <x v="0"/>
    <n v="37040"/>
  </r>
  <r>
    <s v="CSKU02557_3EK"/>
    <x v="1"/>
    <x v="0"/>
    <x v="1"/>
    <x v="0"/>
    <x v="4"/>
    <x v="1"/>
    <x v="630"/>
    <x v="1"/>
    <x v="8"/>
    <x v="0"/>
    <n v="26040"/>
  </r>
  <r>
    <s v="CSKU02558_3EK"/>
    <x v="1"/>
    <x v="0"/>
    <x v="1"/>
    <x v="0"/>
    <x v="1"/>
    <x v="6"/>
    <x v="630"/>
    <x v="1"/>
    <x v="7"/>
    <x v="0"/>
    <n v="24200"/>
  </r>
  <r>
    <s v="CSKU02559_3EK"/>
    <x v="1"/>
    <x v="0"/>
    <x v="1"/>
    <x v="0"/>
    <x v="1"/>
    <x v="1"/>
    <x v="630"/>
    <x v="1"/>
    <x v="8"/>
    <x v="0"/>
    <n v="28410"/>
  </r>
  <r>
    <s v="CSKU02560_3EK"/>
    <x v="1"/>
    <x v="0"/>
    <x v="1"/>
    <x v="6"/>
    <x v="4"/>
    <x v="6"/>
    <x v="630"/>
    <x v="1"/>
    <x v="7"/>
    <x v="0"/>
    <n v="26660"/>
  </r>
  <r>
    <s v="CSKU02561_3EK"/>
    <x v="1"/>
    <x v="0"/>
    <x v="1"/>
    <x v="6"/>
    <x v="4"/>
    <x v="1"/>
    <x v="630"/>
    <x v="1"/>
    <x v="8"/>
    <x v="0"/>
    <n v="29870"/>
  </r>
  <r>
    <s v="CSKU02562_3EK"/>
    <x v="1"/>
    <x v="0"/>
    <x v="1"/>
    <x v="6"/>
    <x v="1"/>
    <x v="6"/>
    <x v="630"/>
    <x v="1"/>
    <x v="7"/>
    <x v="0"/>
    <n v="28490"/>
  </r>
  <r>
    <s v="CSKU02563_3EK"/>
    <x v="1"/>
    <x v="0"/>
    <x v="1"/>
    <x v="6"/>
    <x v="1"/>
    <x v="1"/>
    <x v="630"/>
    <x v="1"/>
    <x v="8"/>
    <x v="0"/>
    <n v="32960"/>
  </r>
  <r>
    <s v="CSKU02564_3EK"/>
    <x v="1"/>
    <x v="0"/>
    <x v="1"/>
    <x v="2"/>
    <x v="4"/>
    <x v="6"/>
    <x v="630"/>
    <x v="1"/>
    <x v="7"/>
    <x v="0"/>
    <n v="30100"/>
  </r>
  <r>
    <s v="CSKU02565_3EK"/>
    <x v="1"/>
    <x v="0"/>
    <x v="1"/>
    <x v="2"/>
    <x v="4"/>
    <x v="1"/>
    <x v="630"/>
    <x v="1"/>
    <x v="8"/>
    <x v="0"/>
    <n v="33480"/>
  </r>
  <r>
    <s v="CSKU02566_3EK"/>
    <x v="1"/>
    <x v="0"/>
    <x v="1"/>
    <x v="2"/>
    <x v="1"/>
    <x v="6"/>
    <x v="630"/>
    <x v="1"/>
    <x v="7"/>
    <x v="0"/>
    <n v="31860"/>
  </r>
  <r>
    <s v="CSKU02567_3EK"/>
    <x v="1"/>
    <x v="0"/>
    <x v="1"/>
    <x v="2"/>
    <x v="1"/>
    <x v="1"/>
    <x v="630"/>
    <x v="1"/>
    <x v="8"/>
    <x v="0"/>
    <n v="36500"/>
  </r>
  <r>
    <s v="CSKU02831_3EK"/>
    <x v="1"/>
    <x v="0"/>
    <x v="1"/>
    <x v="6"/>
    <x v="1"/>
    <x v="6"/>
    <x v="629"/>
    <x v="1"/>
    <x v="7"/>
    <x v="0"/>
    <n v="36160"/>
  </r>
  <r>
    <s v="CSKU02832_3EK"/>
    <x v="1"/>
    <x v="0"/>
    <x v="1"/>
    <x v="6"/>
    <x v="1"/>
    <x v="1"/>
    <x v="629"/>
    <x v="1"/>
    <x v="8"/>
    <x v="0"/>
    <n v="40630"/>
  </r>
  <r>
    <s v="CSKU02833_3EK"/>
    <x v="1"/>
    <x v="0"/>
    <x v="1"/>
    <x v="2"/>
    <x v="4"/>
    <x v="6"/>
    <x v="629"/>
    <x v="1"/>
    <x v="7"/>
    <x v="0"/>
    <n v="38870"/>
  </r>
  <r>
    <s v="CSKU02834_3EK"/>
    <x v="1"/>
    <x v="0"/>
    <x v="1"/>
    <x v="2"/>
    <x v="4"/>
    <x v="1"/>
    <x v="629"/>
    <x v="1"/>
    <x v="8"/>
    <x v="0"/>
    <n v="42250"/>
  </r>
  <r>
    <s v="CSKU02835_3EK"/>
    <x v="1"/>
    <x v="0"/>
    <x v="1"/>
    <x v="2"/>
    <x v="1"/>
    <x v="6"/>
    <x v="629"/>
    <x v="1"/>
    <x v="7"/>
    <x v="0"/>
    <n v="41400"/>
  </r>
  <r>
    <s v="CSKU02836_3EK"/>
    <x v="1"/>
    <x v="0"/>
    <x v="1"/>
    <x v="2"/>
    <x v="1"/>
    <x v="1"/>
    <x v="629"/>
    <x v="1"/>
    <x v="8"/>
    <x v="0"/>
    <n v="46040"/>
  </r>
  <r>
    <s v="CSKU02384_3EK"/>
    <x v="1"/>
    <x v="0"/>
    <x v="1"/>
    <x v="6"/>
    <x v="1"/>
    <x v="1"/>
    <x v="11"/>
    <x v="1"/>
    <x v="8"/>
    <x v="0"/>
    <n v="33590"/>
  </r>
  <r>
    <s v="CSKU02107_2EK"/>
    <x v="1"/>
    <x v="1"/>
    <x v="1"/>
    <x v="1"/>
    <x v="4"/>
    <x v="1"/>
    <x v="568"/>
    <x v="1"/>
    <x v="6"/>
    <x v="0"/>
    <n v="23140"/>
  </r>
  <r>
    <s v="CSKU02371_3EK"/>
    <x v="1"/>
    <x v="0"/>
    <x v="0"/>
    <x v="6"/>
    <x v="1"/>
    <x v="6"/>
    <x v="11"/>
    <x v="0"/>
    <x v="7"/>
    <x v="0"/>
    <n v="27700"/>
  </r>
  <r>
    <s v="CSKU02108_2EK"/>
    <x v="1"/>
    <x v="1"/>
    <x v="1"/>
    <x v="1"/>
    <x v="1"/>
    <x v="6"/>
    <x v="568"/>
    <x v="1"/>
    <x v="5"/>
    <x v="0"/>
    <n v="22570"/>
  </r>
  <r>
    <s v="CSKU02109_2EK"/>
    <x v="1"/>
    <x v="1"/>
    <x v="1"/>
    <x v="1"/>
    <x v="1"/>
    <x v="1"/>
    <x v="568"/>
    <x v="1"/>
    <x v="6"/>
    <x v="0"/>
    <n v="25190"/>
  </r>
  <r>
    <s v="CSKU02110_2EK"/>
    <x v="1"/>
    <x v="1"/>
    <x v="1"/>
    <x v="5"/>
    <x v="4"/>
    <x v="6"/>
    <x v="568"/>
    <x v="1"/>
    <x v="5"/>
    <x v="0"/>
    <n v="23870"/>
  </r>
  <r>
    <s v="CSKU02111_2EK"/>
    <x v="1"/>
    <x v="1"/>
    <x v="1"/>
    <x v="5"/>
    <x v="4"/>
    <x v="1"/>
    <x v="568"/>
    <x v="1"/>
    <x v="6"/>
    <x v="0"/>
    <n v="26390"/>
  </r>
  <r>
    <s v="CSKU02112_2EK"/>
    <x v="1"/>
    <x v="1"/>
    <x v="1"/>
    <x v="5"/>
    <x v="1"/>
    <x v="6"/>
    <x v="568"/>
    <x v="1"/>
    <x v="5"/>
    <x v="0"/>
    <n v="25300"/>
  </r>
  <r>
    <s v="CSKU02113_2EK"/>
    <x v="1"/>
    <x v="1"/>
    <x v="1"/>
    <x v="5"/>
    <x v="1"/>
    <x v="1"/>
    <x v="568"/>
    <x v="1"/>
    <x v="6"/>
    <x v="0"/>
    <n v="28760"/>
  </r>
  <r>
    <s v="CSKU02114_2EK"/>
    <x v="1"/>
    <x v="1"/>
    <x v="1"/>
    <x v="4"/>
    <x v="4"/>
    <x v="6"/>
    <x v="568"/>
    <x v="1"/>
    <x v="5"/>
    <x v="0"/>
    <n v="26180"/>
  </r>
  <r>
    <s v="CSKU02115_2EK"/>
    <x v="1"/>
    <x v="1"/>
    <x v="1"/>
    <x v="4"/>
    <x v="4"/>
    <x v="1"/>
    <x v="568"/>
    <x v="1"/>
    <x v="6"/>
    <x v="0"/>
    <n v="28890"/>
  </r>
  <r>
    <s v="CSKU02116_2EK"/>
    <x v="1"/>
    <x v="1"/>
    <x v="1"/>
    <x v="4"/>
    <x v="1"/>
    <x v="6"/>
    <x v="568"/>
    <x v="1"/>
    <x v="5"/>
    <x v="0"/>
    <n v="27800"/>
  </r>
  <r>
    <s v="CSKU02117_2EK"/>
    <x v="1"/>
    <x v="1"/>
    <x v="1"/>
    <x v="4"/>
    <x v="1"/>
    <x v="1"/>
    <x v="568"/>
    <x v="1"/>
    <x v="6"/>
    <x v="0"/>
    <n v="31430"/>
  </r>
  <r>
    <s v="CSKU00836_2EK"/>
    <x v="1"/>
    <x v="1"/>
    <x v="0"/>
    <x v="1"/>
    <x v="1"/>
    <x v="6"/>
    <x v="572"/>
    <x v="0"/>
    <x v="5"/>
    <x v="0"/>
    <n v="21470"/>
  </r>
  <r>
    <s v="CSKU00837_2EK"/>
    <x v="1"/>
    <x v="1"/>
    <x v="0"/>
    <x v="1"/>
    <x v="1"/>
    <x v="1"/>
    <x v="572"/>
    <x v="0"/>
    <x v="6"/>
    <x v="0"/>
    <n v="23830"/>
  </r>
  <r>
    <s v="CSKU00838_2EK"/>
    <x v="1"/>
    <x v="1"/>
    <x v="0"/>
    <x v="5"/>
    <x v="4"/>
    <x v="6"/>
    <x v="572"/>
    <x v="0"/>
    <x v="5"/>
    <x v="0"/>
    <n v="22780"/>
  </r>
  <r>
    <s v="CSKU00839_2EK"/>
    <x v="1"/>
    <x v="1"/>
    <x v="0"/>
    <x v="5"/>
    <x v="4"/>
    <x v="1"/>
    <x v="572"/>
    <x v="0"/>
    <x v="6"/>
    <x v="0"/>
    <n v="25030"/>
  </r>
  <r>
    <s v="CSKU00840_2EK"/>
    <x v="1"/>
    <x v="1"/>
    <x v="0"/>
    <x v="5"/>
    <x v="1"/>
    <x v="6"/>
    <x v="572"/>
    <x v="0"/>
    <x v="5"/>
    <x v="0"/>
    <n v="24190"/>
  </r>
  <r>
    <s v="CSKU00841_2EK"/>
    <x v="1"/>
    <x v="1"/>
    <x v="0"/>
    <x v="5"/>
    <x v="1"/>
    <x v="1"/>
    <x v="572"/>
    <x v="0"/>
    <x v="6"/>
    <x v="0"/>
    <n v="27270"/>
  </r>
  <r>
    <s v="CSKU00842_2EK"/>
    <x v="1"/>
    <x v="1"/>
    <x v="0"/>
    <x v="4"/>
    <x v="4"/>
    <x v="6"/>
    <x v="572"/>
    <x v="0"/>
    <x v="5"/>
    <x v="0"/>
    <n v="25020"/>
  </r>
  <r>
    <s v="CSKU00843_2EK"/>
    <x v="1"/>
    <x v="1"/>
    <x v="0"/>
    <x v="4"/>
    <x v="4"/>
    <x v="1"/>
    <x v="572"/>
    <x v="0"/>
    <x v="6"/>
    <x v="0"/>
    <n v="27450"/>
  </r>
  <r>
    <s v="CSKU00844_2EK"/>
    <x v="1"/>
    <x v="1"/>
    <x v="0"/>
    <x v="4"/>
    <x v="1"/>
    <x v="6"/>
    <x v="572"/>
    <x v="0"/>
    <x v="5"/>
    <x v="0"/>
    <n v="26610"/>
  </r>
  <r>
    <s v="CSKU00845_2EK"/>
    <x v="1"/>
    <x v="1"/>
    <x v="0"/>
    <x v="4"/>
    <x v="1"/>
    <x v="1"/>
    <x v="572"/>
    <x v="0"/>
    <x v="6"/>
    <x v="0"/>
    <n v="29880"/>
  </r>
  <r>
    <s v="CSKU00846_2EK"/>
    <x v="1"/>
    <x v="1"/>
    <x v="1"/>
    <x v="1"/>
    <x v="4"/>
    <x v="6"/>
    <x v="572"/>
    <x v="1"/>
    <x v="5"/>
    <x v="0"/>
    <n v="20860"/>
  </r>
  <r>
    <s v="CSKU01205_2EK"/>
    <x v="1"/>
    <x v="1"/>
    <x v="0"/>
    <x v="4"/>
    <x v="1"/>
    <x v="1"/>
    <x v="567"/>
    <x v="0"/>
    <x v="6"/>
    <x v="0"/>
    <n v="29880"/>
  </r>
  <r>
    <s v="CSKU01206_2EK"/>
    <x v="1"/>
    <x v="1"/>
    <x v="1"/>
    <x v="1"/>
    <x v="4"/>
    <x v="6"/>
    <x v="567"/>
    <x v="1"/>
    <x v="5"/>
    <x v="0"/>
    <n v="20860"/>
  </r>
  <r>
    <s v="CSKU01207_2EK"/>
    <x v="1"/>
    <x v="1"/>
    <x v="1"/>
    <x v="1"/>
    <x v="4"/>
    <x v="1"/>
    <x v="567"/>
    <x v="1"/>
    <x v="6"/>
    <x v="0"/>
    <n v="23140"/>
  </r>
  <r>
    <s v="CSKU01208_2EK"/>
    <x v="1"/>
    <x v="1"/>
    <x v="1"/>
    <x v="1"/>
    <x v="1"/>
    <x v="6"/>
    <x v="567"/>
    <x v="1"/>
    <x v="5"/>
    <x v="0"/>
    <n v="22570"/>
  </r>
  <r>
    <s v="CSKU01209_2EK"/>
    <x v="1"/>
    <x v="1"/>
    <x v="1"/>
    <x v="1"/>
    <x v="1"/>
    <x v="1"/>
    <x v="567"/>
    <x v="1"/>
    <x v="6"/>
    <x v="0"/>
    <n v="25190"/>
  </r>
  <r>
    <s v="CSKU01210_2EK"/>
    <x v="1"/>
    <x v="1"/>
    <x v="1"/>
    <x v="5"/>
    <x v="4"/>
    <x v="6"/>
    <x v="567"/>
    <x v="1"/>
    <x v="5"/>
    <x v="0"/>
    <n v="23870"/>
  </r>
  <r>
    <s v="CSKU01211_2EK"/>
    <x v="1"/>
    <x v="1"/>
    <x v="1"/>
    <x v="5"/>
    <x v="4"/>
    <x v="1"/>
    <x v="567"/>
    <x v="1"/>
    <x v="6"/>
    <x v="0"/>
    <n v="26390"/>
  </r>
  <r>
    <s v="CSKU01212_2EK"/>
    <x v="1"/>
    <x v="1"/>
    <x v="1"/>
    <x v="5"/>
    <x v="1"/>
    <x v="6"/>
    <x v="567"/>
    <x v="1"/>
    <x v="5"/>
    <x v="0"/>
    <n v="25300"/>
  </r>
  <r>
    <s v="CSKU01213_2EK"/>
    <x v="1"/>
    <x v="1"/>
    <x v="1"/>
    <x v="5"/>
    <x v="1"/>
    <x v="1"/>
    <x v="567"/>
    <x v="1"/>
    <x v="6"/>
    <x v="0"/>
    <n v="28760"/>
  </r>
  <r>
    <s v="CSKU01214_2EK"/>
    <x v="1"/>
    <x v="1"/>
    <x v="1"/>
    <x v="4"/>
    <x v="4"/>
    <x v="6"/>
    <x v="567"/>
    <x v="1"/>
    <x v="5"/>
    <x v="0"/>
    <n v="26180"/>
  </r>
  <r>
    <s v="CSKU01215_2EK"/>
    <x v="1"/>
    <x v="1"/>
    <x v="1"/>
    <x v="4"/>
    <x v="4"/>
    <x v="1"/>
    <x v="567"/>
    <x v="1"/>
    <x v="6"/>
    <x v="0"/>
    <n v="28890"/>
  </r>
  <r>
    <s v="CSKU02372_3EK"/>
    <x v="1"/>
    <x v="0"/>
    <x v="0"/>
    <x v="6"/>
    <x v="1"/>
    <x v="1"/>
    <x v="11"/>
    <x v="0"/>
    <x v="8"/>
    <x v="0"/>
    <n v="31690"/>
  </r>
  <r>
    <s v="CSKU02373_3EK"/>
    <x v="1"/>
    <x v="0"/>
    <x v="0"/>
    <x v="2"/>
    <x v="4"/>
    <x v="6"/>
    <x v="11"/>
    <x v="0"/>
    <x v="7"/>
    <x v="0"/>
    <n v="29580"/>
  </r>
  <r>
    <s v="CSKU02374_3EK"/>
    <x v="1"/>
    <x v="0"/>
    <x v="0"/>
    <x v="2"/>
    <x v="4"/>
    <x v="1"/>
    <x v="11"/>
    <x v="0"/>
    <x v="8"/>
    <x v="0"/>
    <n v="32590"/>
  </r>
  <r>
    <s v="CSKU02375_3EK"/>
    <x v="1"/>
    <x v="0"/>
    <x v="0"/>
    <x v="2"/>
    <x v="1"/>
    <x v="6"/>
    <x v="11"/>
    <x v="0"/>
    <x v="7"/>
    <x v="0"/>
    <n v="31160"/>
  </r>
  <r>
    <s v="CSKU02376_3EK"/>
    <x v="1"/>
    <x v="0"/>
    <x v="0"/>
    <x v="2"/>
    <x v="1"/>
    <x v="1"/>
    <x v="11"/>
    <x v="0"/>
    <x v="8"/>
    <x v="0"/>
    <n v="35290"/>
  </r>
  <r>
    <s v="CSKU02377_3EK"/>
    <x v="1"/>
    <x v="0"/>
    <x v="1"/>
    <x v="0"/>
    <x v="4"/>
    <x v="6"/>
    <x v="11"/>
    <x v="1"/>
    <x v="7"/>
    <x v="0"/>
    <n v="24400"/>
  </r>
  <r>
    <s v="CSKU02378_3EK"/>
    <x v="1"/>
    <x v="0"/>
    <x v="1"/>
    <x v="0"/>
    <x v="4"/>
    <x v="1"/>
    <x v="11"/>
    <x v="1"/>
    <x v="8"/>
    <x v="0"/>
    <n v="27600"/>
  </r>
  <r>
    <s v="CSKU02379_3EK"/>
    <x v="1"/>
    <x v="0"/>
    <x v="1"/>
    <x v="0"/>
    <x v="1"/>
    <x v="6"/>
    <x v="11"/>
    <x v="1"/>
    <x v="7"/>
    <x v="0"/>
    <n v="26090"/>
  </r>
  <r>
    <s v="CSKU02380_3EK"/>
    <x v="1"/>
    <x v="0"/>
    <x v="1"/>
    <x v="0"/>
    <x v="1"/>
    <x v="1"/>
    <x v="11"/>
    <x v="1"/>
    <x v="8"/>
    <x v="0"/>
    <n v="30300"/>
  </r>
  <r>
    <s v="CSKU02381_3EK"/>
    <x v="1"/>
    <x v="0"/>
    <x v="1"/>
    <x v="6"/>
    <x v="4"/>
    <x v="6"/>
    <x v="11"/>
    <x v="1"/>
    <x v="7"/>
    <x v="0"/>
    <n v="27470"/>
  </r>
  <r>
    <s v="CSKU02382_3EK"/>
    <x v="1"/>
    <x v="0"/>
    <x v="1"/>
    <x v="6"/>
    <x v="4"/>
    <x v="1"/>
    <x v="11"/>
    <x v="1"/>
    <x v="8"/>
    <x v="0"/>
    <n v="30680"/>
  </r>
  <r>
    <s v="CSKU02383_3EK"/>
    <x v="1"/>
    <x v="0"/>
    <x v="1"/>
    <x v="6"/>
    <x v="1"/>
    <x v="6"/>
    <x v="11"/>
    <x v="1"/>
    <x v="7"/>
    <x v="0"/>
    <n v="29120"/>
  </r>
  <r>
    <s v="CSKU00033_2EK"/>
    <x v="1"/>
    <x v="1"/>
    <x v="0"/>
    <x v="4"/>
    <x v="4"/>
    <x v="1"/>
    <x v="570"/>
    <x v="0"/>
    <x v="6"/>
    <x v="0"/>
    <n v="23540"/>
  </r>
  <r>
    <s v="CSKU00034_2EK"/>
    <x v="1"/>
    <x v="1"/>
    <x v="0"/>
    <x v="4"/>
    <x v="1"/>
    <x v="6"/>
    <x v="570"/>
    <x v="0"/>
    <x v="5"/>
    <x v="0"/>
    <n v="22230"/>
  </r>
  <r>
    <s v="CSKU00035_2EK"/>
    <x v="1"/>
    <x v="1"/>
    <x v="0"/>
    <x v="4"/>
    <x v="1"/>
    <x v="1"/>
    <x v="570"/>
    <x v="0"/>
    <x v="6"/>
    <x v="0"/>
    <n v="25500"/>
  </r>
  <r>
    <s v="CSKU00036_2EK"/>
    <x v="1"/>
    <x v="1"/>
    <x v="1"/>
    <x v="1"/>
    <x v="4"/>
    <x v="6"/>
    <x v="570"/>
    <x v="1"/>
    <x v="5"/>
    <x v="0"/>
    <n v="17700"/>
  </r>
  <r>
    <s v="CSKU00037_2EK"/>
    <x v="1"/>
    <x v="1"/>
    <x v="1"/>
    <x v="1"/>
    <x v="4"/>
    <x v="1"/>
    <x v="570"/>
    <x v="1"/>
    <x v="6"/>
    <x v="0"/>
    <n v="19980"/>
  </r>
  <r>
    <s v="CSKU00038_2EK"/>
    <x v="1"/>
    <x v="1"/>
    <x v="1"/>
    <x v="1"/>
    <x v="1"/>
    <x v="6"/>
    <x v="570"/>
    <x v="1"/>
    <x v="5"/>
    <x v="0"/>
    <n v="19260"/>
  </r>
  <r>
    <s v="CSKU00039_2EK"/>
    <x v="1"/>
    <x v="1"/>
    <x v="1"/>
    <x v="1"/>
    <x v="1"/>
    <x v="1"/>
    <x v="570"/>
    <x v="1"/>
    <x v="6"/>
    <x v="0"/>
    <n v="21880"/>
  </r>
  <r>
    <s v="CSKU00040_2EK"/>
    <x v="1"/>
    <x v="1"/>
    <x v="1"/>
    <x v="5"/>
    <x v="4"/>
    <x v="6"/>
    <x v="570"/>
    <x v="1"/>
    <x v="5"/>
    <x v="0"/>
    <n v="19800"/>
  </r>
  <r>
    <s v="CSKU00041_2EK"/>
    <x v="1"/>
    <x v="1"/>
    <x v="1"/>
    <x v="5"/>
    <x v="4"/>
    <x v="1"/>
    <x v="570"/>
    <x v="1"/>
    <x v="6"/>
    <x v="0"/>
    <n v="22320"/>
  </r>
  <r>
    <s v="CSKU00042_2EK"/>
    <x v="1"/>
    <x v="1"/>
    <x v="1"/>
    <x v="5"/>
    <x v="1"/>
    <x v="6"/>
    <x v="570"/>
    <x v="1"/>
    <x v="5"/>
    <x v="0"/>
    <n v="20960"/>
  </r>
  <r>
    <s v="CSKU00043_2EK"/>
    <x v="1"/>
    <x v="1"/>
    <x v="1"/>
    <x v="5"/>
    <x v="1"/>
    <x v="1"/>
    <x v="570"/>
    <x v="1"/>
    <x v="6"/>
    <x v="0"/>
    <n v="24420"/>
  </r>
  <r>
    <s v="CSKU00044_2EK"/>
    <x v="1"/>
    <x v="1"/>
    <x v="1"/>
    <x v="4"/>
    <x v="4"/>
    <x v="6"/>
    <x v="570"/>
    <x v="1"/>
    <x v="5"/>
    <x v="0"/>
    <n v="22270"/>
  </r>
  <r>
    <s v="CSKU00045_2EK"/>
    <x v="1"/>
    <x v="1"/>
    <x v="1"/>
    <x v="4"/>
    <x v="4"/>
    <x v="1"/>
    <x v="570"/>
    <x v="1"/>
    <x v="6"/>
    <x v="0"/>
    <n v="24980"/>
  </r>
  <r>
    <s v="CSKU00301_2EK"/>
    <x v="1"/>
    <x v="1"/>
    <x v="0"/>
    <x v="5"/>
    <x v="1"/>
    <x v="1"/>
    <x v="571"/>
    <x v="0"/>
    <x v="6"/>
    <x v="0"/>
    <n v="27270"/>
  </r>
  <r>
    <s v="CSKU00302_2EK"/>
    <x v="1"/>
    <x v="1"/>
    <x v="0"/>
    <x v="4"/>
    <x v="4"/>
    <x v="6"/>
    <x v="571"/>
    <x v="0"/>
    <x v="5"/>
    <x v="0"/>
    <n v="25020"/>
  </r>
  <r>
    <s v="CSKU00303_2EK"/>
    <x v="1"/>
    <x v="1"/>
    <x v="0"/>
    <x v="4"/>
    <x v="4"/>
    <x v="1"/>
    <x v="571"/>
    <x v="0"/>
    <x v="6"/>
    <x v="0"/>
    <n v="27450"/>
  </r>
  <r>
    <s v="CSKU00304_2EK"/>
    <x v="1"/>
    <x v="1"/>
    <x v="0"/>
    <x v="4"/>
    <x v="1"/>
    <x v="6"/>
    <x v="571"/>
    <x v="0"/>
    <x v="5"/>
    <x v="0"/>
    <n v="26610"/>
  </r>
  <r>
    <s v="CSKU00305_2EK"/>
    <x v="1"/>
    <x v="1"/>
    <x v="0"/>
    <x v="4"/>
    <x v="1"/>
    <x v="1"/>
    <x v="571"/>
    <x v="0"/>
    <x v="6"/>
    <x v="0"/>
    <n v="29880"/>
  </r>
  <r>
    <s v="CSKU00306_2EK"/>
    <x v="1"/>
    <x v="1"/>
    <x v="1"/>
    <x v="1"/>
    <x v="4"/>
    <x v="6"/>
    <x v="571"/>
    <x v="1"/>
    <x v="5"/>
    <x v="0"/>
    <n v="20860"/>
  </r>
  <r>
    <s v="CSKU00307_2EK"/>
    <x v="1"/>
    <x v="1"/>
    <x v="1"/>
    <x v="1"/>
    <x v="4"/>
    <x v="1"/>
    <x v="571"/>
    <x v="1"/>
    <x v="6"/>
    <x v="0"/>
    <n v="23140"/>
  </r>
  <r>
    <s v="CSKU00308_2EK"/>
    <x v="1"/>
    <x v="1"/>
    <x v="1"/>
    <x v="1"/>
    <x v="1"/>
    <x v="6"/>
    <x v="571"/>
    <x v="1"/>
    <x v="5"/>
    <x v="0"/>
    <n v="22570"/>
  </r>
  <r>
    <s v="CSKU00309_2EK"/>
    <x v="1"/>
    <x v="1"/>
    <x v="1"/>
    <x v="1"/>
    <x v="1"/>
    <x v="1"/>
    <x v="571"/>
    <x v="1"/>
    <x v="6"/>
    <x v="0"/>
    <n v="25190"/>
  </r>
  <r>
    <s v="CSKU00310_2EK"/>
    <x v="1"/>
    <x v="1"/>
    <x v="1"/>
    <x v="5"/>
    <x v="4"/>
    <x v="6"/>
    <x v="571"/>
    <x v="1"/>
    <x v="5"/>
    <x v="0"/>
    <n v="23870"/>
  </r>
  <r>
    <s v="CSKU00311_2EK"/>
    <x v="1"/>
    <x v="1"/>
    <x v="1"/>
    <x v="5"/>
    <x v="4"/>
    <x v="1"/>
    <x v="571"/>
    <x v="1"/>
    <x v="6"/>
    <x v="0"/>
    <n v="26390"/>
  </r>
  <r>
    <m/>
    <x v="1"/>
    <x v="0"/>
    <x v="0"/>
    <x v="3"/>
    <x v="2"/>
    <x v="5"/>
    <x v="52"/>
    <x v="0"/>
    <x v="3"/>
    <x v="0"/>
    <n v="27730"/>
  </r>
  <r>
    <m/>
    <x v="1"/>
    <x v="0"/>
    <x v="0"/>
    <x v="3"/>
    <x v="2"/>
    <x v="5"/>
    <x v="53"/>
    <x v="0"/>
    <x v="3"/>
    <x v="0"/>
    <n v="27730"/>
  </r>
  <r>
    <m/>
    <x v="1"/>
    <x v="0"/>
    <x v="0"/>
    <x v="3"/>
    <x v="2"/>
    <x v="5"/>
    <x v="54"/>
    <x v="0"/>
    <x v="3"/>
    <x v="0"/>
    <n v="27730"/>
  </r>
  <r>
    <m/>
    <x v="1"/>
    <x v="0"/>
    <x v="0"/>
    <x v="3"/>
    <x v="2"/>
    <x v="5"/>
    <x v="55"/>
    <x v="0"/>
    <x v="3"/>
    <x v="0"/>
    <n v="27730"/>
  </r>
  <r>
    <m/>
    <x v="1"/>
    <x v="0"/>
    <x v="0"/>
    <x v="3"/>
    <x v="2"/>
    <x v="5"/>
    <x v="59"/>
    <x v="0"/>
    <x v="3"/>
    <x v="0"/>
    <n v="27730"/>
  </r>
  <r>
    <m/>
    <x v="1"/>
    <x v="0"/>
    <x v="0"/>
    <x v="3"/>
    <x v="2"/>
    <x v="5"/>
    <x v="60"/>
    <x v="0"/>
    <x v="3"/>
    <x v="0"/>
    <n v="27730"/>
  </r>
  <r>
    <m/>
    <x v="1"/>
    <x v="0"/>
    <x v="0"/>
    <x v="3"/>
    <x v="2"/>
    <x v="5"/>
    <x v="61"/>
    <x v="0"/>
    <x v="3"/>
    <x v="0"/>
    <n v="27730"/>
  </r>
  <r>
    <m/>
    <x v="1"/>
    <x v="0"/>
    <x v="0"/>
    <x v="3"/>
    <x v="2"/>
    <x v="5"/>
    <x v="62"/>
    <x v="0"/>
    <x v="3"/>
    <x v="0"/>
    <n v="27730"/>
  </r>
  <r>
    <m/>
    <x v="1"/>
    <x v="0"/>
    <x v="0"/>
    <x v="3"/>
    <x v="2"/>
    <x v="5"/>
    <x v="43"/>
    <x v="0"/>
    <x v="3"/>
    <x v="0"/>
    <n v="27730"/>
  </r>
  <r>
    <m/>
    <x v="1"/>
    <x v="0"/>
    <x v="0"/>
    <x v="3"/>
    <x v="2"/>
    <x v="5"/>
    <x v="4"/>
    <x v="0"/>
    <x v="3"/>
    <x v="0"/>
    <n v="27730"/>
  </r>
  <r>
    <m/>
    <x v="1"/>
    <x v="0"/>
    <x v="0"/>
    <x v="3"/>
    <x v="2"/>
    <x v="5"/>
    <x v="44"/>
    <x v="0"/>
    <x v="3"/>
    <x v="0"/>
    <n v="27730"/>
  </r>
  <r>
    <m/>
    <x v="1"/>
    <x v="0"/>
    <x v="0"/>
    <x v="3"/>
    <x v="2"/>
    <x v="5"/>
    <x v="45"/>
    <x v="0"/>
    <x v="3"/>
    <x v="0"/>
    <n v="27730"/>
  </r>
  <r>
    <m/>
    <x v="1"/>
    <x v="0"/>
    <x v="0"/>
    <x v="3"/>
    <x v="2"/>
    <x v="5"/>
    <x v="6"/>
    <x v="0"/>
    <x v="3"/>
    <x v="0"/>
    <n v="27730"/>
  </r>
  <r>
    <m/>
    <x v="1"/>
    <x v="0"/>
    <x v="0"/>
    <x v="3"/>
    <x v="2"/>
    <x v="5"/>
    <x v="46"/>
    <x v="0"/>
    <x v="3"/>
    <x v="0"/>
    <n v="27730"/>
  </r>
  <r>
    <m/>
    <x v="1"/>
    <x v="0"/>
    <x v="0"/>
    <x v="2"/>
    <x v="2"/>
    <x v="4"/>
    <x v="4"/>
    <x v="0"/>
    <x v="3"/>
    <x v="0"/>
    <n v="34740"/>
  </r>
  <r>
    <m/>
    <x v="1"/>
    <x v="0"/>
    <x v="0"/>
    <x v="2"/>
    <x v="2"/>
    <x v="4"/>
    <x v="44"/>
    <x v="0"/>
    <x v="3"/>
    <x v="0"/>
    <n v="34740"/>
  </r>
  <r>
    <m/>
    <x v="1"/>
    <x v="0"/>
    <x v="0"/>
    <x v="2"/>
    <x v="2"/>
    <x v="4"/>
    <x v="45"/>
    <x v="0"/>
    <x v="3"/>
    <x v="0"/>
    <n v="34740"/>
  </r>
  <r>
    <m/>
    <x v="1"/>
    <x v="0"/>
    <x v="0"/>
    <x v="2"/>
    <x v="2"/>
    <x v="4"/>
    <x v="6"/>
    <x v="0"/>
    <x v="3"/>
    <x v="0"/>
    <n v="34740"/>
  </r>
  <r>
    <m/>
    <x v="1"/>
    <x v="0"/>
    <x v="0"/>
    <x v="2"/>
    <x v="2"/>
    <x v="4"/>
    <x v="46"/>
    <x v="0"/>
    <x v="3"/>
    <x v="0"/>
    <n v="34740"/>
  </r>
  <r>
    <m/>
    <x v="1"/>
    <x v="0"/>
    <x v="0"/>
    <x v="2"/>
    <x v="2"/>
    <x v="4"/>
    <x v="47"/>
    <x v="0"/>
    <x v="3"/>
    <x v="0"/>
    <n v="34740"/>
  </r>
  <r>
    <m/>
    <x v="1"/>
    <x v="0"/>
    <x v="0"/>
    <x v="2"/>
    <x v="2"/>
    <x v="8"/>
    <x v="48"/>
    <x v="0"/>
    <x v="3"/>
    <x v="0"/>
    <n v="39890"/>
  </r>
  <r>
    <m/>
    <x v="1"/>
    <x v="0"/>
    <x v="0"/>
    <x v="2"/>
    <x v="2"/>
    <x v="8"/>
    <x v="49"/>
    <x v="0"/>
    <x v="3"/>
    <x v="0"/>
    <n v="39890"/>
  </r>
  <r>
    <m/>
    <x v="1"/>
    <x v="0"/>
    <x v="0"/>
    <x v="2"/>
    <x v="2"/>
    <x v="8"/>
    <x v="50"/>
    <x v="0"/>
    <x v="3"/>
    <x v="0"/>
    <n v="39890"/>
  </r>
  <r>
    <m/>
    <x v="1"/>
    <x v="0"/>
    <x v="0"/>
    <x v="2"/>
    <x v="2"/>
    <x v="8"/>
    <x v="51"/>
    <x v="0"/>
    <x v="3"/>
    <x v="0"/>
    <n v="39890"/>
  </r>
  <r>
    <m/>
    <x v="1"/>
    <x v="0"/>
    <x v="0"/>
    <x v="2"/>
    <x v="2"/>
    <x v="8"/>
    <x v="52"/>
    <x v="0"/>
    <x v="3"/>
    <x v="0"/>
    <n v="39890"/>
  </r>
  <r>
    <m/>
    <x v="1"/>
    <x v="0"/>
    <x v="0"/>
    <x v="2"/>
    <x v="2"/>
    <x v="8"/>
    <x v="53"/>
    <x v="0"/>
    <x v="3"/>
    <x v="0"/>
    <n v="39890"/>
  </r>
  <r>
    <m/>
    <x v="1"/>
    <x v="0"/>
    <x v="0"/>
    <x v="2"/>
    <x v="2"/>
    <x v="8"/>
    <x v="54"/>
    <x v="0"/>
    <x v="3"/>
    <x v="0"/>
    <n v="39890"/>
  </r>
  <r>
    <m/>
    <x v="1"/>
    <x v="0"/>
    <x v="0"/>
    <x v="2"/>
    <x v="3"/>
    <x v="8"/>
    <x v="62"/>
    <x v="0"/>
    <x v="4"/>
    <x v="0"/>
    <n v="44020"/>
  </r>
  <r>
    <m/>
    <x v="1"/>
    <x v="0"/>
    <x v="0"/>
    <x v="2"/>
    <x v="3"/>
    <x v="8"/>
    <x v="43"/>
    <x v="0"/>
    <x v="4"/>
    <x v="0"/>
    <n v="44020"/>
  </r>
  <r>
    <m/>
    <x v="1"/>
    <x v="0"/>
    <x v="0"/>
    <x v="2"/>
    <x v="3"/>
    <x v="8"/>
    <x v="4"/>
    <x v="0"/>
    <x v="4"/>
    <x v="0"/>
    <n v="44020"/>
  </r>
  <r>
    <m/>
    <x v="1"/>
    <x v="0"/>
    <x v="0"/>
    <x v="2"/>
    <x v="3"/>
    <x v="8"/>
    <x v="44"/>
    <x v="0"/>
    <x v="4"/>
    <x v="0"/>
    <n v="44020"/>
  </r>
  <r>
    <m/>
    <x v="1"/>
    <x v="0"/>
    <x v="0"/>
    <x v="2"/>
    <x v="3"/>
    <x v="8"/>
    <x v="45"/>
    <x v="0"/>
    <x v="4"/>
    <x v="0"/>
    <n v="44020"/>
  </r>
  <r>
    <m/>
    <x v="1"/>
    <x v="0"/>
    <x v="0"/>
    <x v="2"/>
    <x v="3"/>
    <x v="8"/>
    <x v="6"/>
    <x v="0"/>
    <x v="4"/>
    <x v="0"/>
    <n v="44020"/>
  </r>
  <r>
    <m/>
    <x v="1"/>
    <x v="0"/>
    <x v="0"/>
    <x v="2"/>
    <x v="3"/>
    <x v="8"/>
    <x v="46"/>
    <x v="0"/>
    <x v="4"/>
    <x v="0"/>
    <n v="44020"/>
  </r>
  <r>
    <m/>
    <x v="1"/>
    <x v="0"/>
    <x v="0"/>
    <x v="2"/>
    <x v="3"/>
    <x v="8"/>
    <x v="47"/>
    <x v="0"/>
    <x v="4"/>
    <x v="0"/>
    <n v="44020"/>
  </r>
  <r>
    <m/>
    <x v="1"/>
    <x v="0"/>
    <x v="0"/>
    <x v="2"/>
    <x v="4"/>
    <x v="6"/>
    <x v="56"/>
    <x v="0"/>
    <x v="3"/>
    <x v="0"/>
    <n v="29580"/>
  </r>
  <r>
    <m/>
    <x v="1"/>
    <x v="0"/>
    <x v="0"/>
    <x v="2"/>
    <x v="4"/>
    <x v="6"/>
    <x v="57"/>
    <x v="0"/>
    <x v="3"/>
    <x v="0"/>
    <n v="28670"/>
  </r>
  <r>
    <m/>
    <x v="1"/>
    <x v="0"/>
    <x v="0"/>
    <x v="2"/>
    <x v="4"/>
    <x v="6"/>
    <x v="58"/>
    <x v="0"/>
    <x v="3"/>
    <x v="0"/>
    <n v="26850"/>
  </r>
  <r>
    <m/>
    <x v="1"/>
    <x v="0"/>
    <x v="0"/>
    <x v="2"/>
    <x v="4"/>
    <x v="6"/>
    <x v="5"/>
    <x v="0"/>
    <x v="3"/>
    <x v="0"/>
    <n v="27760"/>
  </r>
  <r>
    <m/>
    <x v="1"/>
    <x v="0"/>
    <x v="0"/>
    <x v="2"/>
    <x v="4"/>
    <x v="1"/>
    <x v="56"/>
    <x v="0"/>
    <x v="4"/>
    <x v="0"/>
    <n v="32590"/>
  </r>
  <r>
    <m/>
    <x v="1"/>
    <x v="0"/>
    <x v="1"/>
    <x v="3"/>
    <x v="3"/>
    <x v="4"/>
    <x v="60"/>
    <x v="1"/>
    <x v="4"/>
    <x v="0"/>
    <n v="37160"/>
  </r>
  <r>
    <m/>
    <x v="1"/>
    <x v="0"/>
    <x v="1"/>
    <x v="3"/>
    <x v="3"/>
    <x v="4"/>
    <x v="61"/>
    <x v="1"/>
    <x v="4"/>
    <x v="0"/>
    <n v="37160"/>
  </r>
  <r>
    <m/>
    <x v="1"/>
    <x v="0"/>
    <x v="1"/>
    <x v="3"/>
    <x v="3"/>
    <x v="4"/>
    <x v="62"/>
    <x v="1"/>
    <x v="4"/>
    <x v="0"/>
    <n v="37160"/>
  </r>
  <r>
    <m/>
    <x v="1"/>
    <x v="0"/>
    <x v="1"/>
    <x v="3"/>
    <x v="3"/>
    <x v="4"/>
    <x v="43"/>
    <x v="1"/>
    <x v="4"/>
    <x v="0"/>
    <n v="37160"/>
  </r>
  <r>
    <m/>
    <x v="1"/>
    <x v="0"/>
    <x v="1"/>
    <x v="3"/>
    <x v="3"/>
    <x v="4"/>
    <x v="4"/>
    <x v="1"/>
    <x v="4"/>
    <x v="0"/>
    <n v="37160"/>
  </r>
  <r>
    <m/>
    <x v="1"/>
    <x v="0"/>
    <x v="1"/>
    <x v="3"/>
    <x v="3"/>
    <x v="4"/>
    <x v="44"/>
    <x v="1"/>
    <x v="4"/>
    <x v="0"/>
    <n v="37160"/>
  </r>
  <r>
    <m/>
    <x v="1"/>
    <x v="0"/>
    <x v="1"/>
    <x v="3"/>
    <x v="3"/>
    <x v="4"/>
    <x v="45"/>
    <x v="1"/>
    <x v="4"/>
    <x v="0"/>
    <n v="37160"/>
  </r>
  <r>
    <m/>
    <x v="1"/>
    <x v="0"/>
    <x v="1"/>
    <x v="3"/>
    <x v="3"/>
    <x v="4"/>
    <x v="6"/>
    <x v="1"/>
    <x v="4"/>
    <x v="0"/>
    <n v="37160"/>
  </r>
  <r>
    <m/>
    <x v="1"/>
    <x v="0"/>
    <x v="1"/>
    <x v="3"/>
    <x v="3"/>
    <x v="4"/>
    <x v="46"/>
    <x v="1"/>
    <x v="4"/>
    <x v="0"/>
    <n v="37160"/>
  </r>
  <r>
    <m/>
    <x v="1"/>
    <x v="0"/>
    <x v="1"/>
    <x v="3"/>
    <x v="3"/>
    <x v="4"/>
    <x v="47"/>
    <x v="1"/>
    <x v="4"/>
    <x v="0"/>
    <n v="37160"/>
  </r>
  <r>
    <m/>
    <x v="1"/>
    <x v="0"/>
    <x v="1"/>
    <x v="3"/>
    <x v="3"/>
    <x v="8"/>
    <x v="48"/>
    <x v="1"/>
    <x v="4"/>
    <x v="0"/>
    <n v="42250"/>
  </r>
  <r>
    <m/>
    <x v="1"/>
    <x v="0"/>
    <x v="1"/>
    <x v="3"/>
    <x v="3"/>
    <x v="8"/>
    <x v="49"/>
    <x v="1"/>
    <x v="4"/>
    <x v="0"/>
    <n v="42250"/>
  </r>
  <r>
    <m/>
    <x v="1"/>
    <x v="0"/>
    <x v="1"/>
    <x v="3"/>
    <x v="3"/>
    <x v="8"/>
    <x v="50"/>
    <x v="1"/>
    <x v="4"/>
    <x v="0"/>
    <n v="42250"/>
  </r>
  <r>
    <m/>
    <x v="1"/>
    <x v="0"/>
    <x v="1"/>
    <x v="3"/>
    <x v="3"/>
    <x v="8"/>
    <x v="51"/>
    <x v="1"/>
    <x v="4"/>
    <x v="0"/>
    <n v="42250"/>
  </r>
  <r>
    <m/>
    <x v="1"/>
    <x v="0"/>
    <x v="1"/>
    <x v="2"/>
    <x v="4"/>
    <x v="6"/>
    <x v="5"/>
    <x v="1"/>
    <x v="3"/>
    <x v="0"/>
    <n v="30420"/>
  </r>
  <r>
    <m/>
    <x v="1"/>
    <x v="0"/>
    <x v="1"/>
    <x v="2"/>
    <x v="4"/>
    <x v="1"/>
    <x v="56"/>
    <x v="1"/>
    <x v="4"/>
    <x v="0"/>
    <n v="34440"/>
  </r>
  <r>
    <m/>
    <x v="1"/>
    <x v="0"/>
    <x v="1"/>
    <x v="2"/>
    <x v="4"/>
    <x v="1"/>
    <x v="57"/>
    <x v="1"/>
    <x v="4"/>
    <x v="0"/>
    <n v="34120"/>
  </r>
  <r>
    <m/>
    <x v="1"/>
    <x v="0"/>
    <x v="1"/>
    <x v="2"/>
    <x v="4"/>
    <x v="1"/>
    <x v="58"/>
    <x v="1"/>
    <x v="4"/>
    <x v="0"/>
    <n v="33480"/>
  </r>
  <r>
    <m/>
    <x v="1"/>
    <x v="0"/>
    <x v="1"/>
    <x v="2"/>
    <x v="4"/>
    <x v="1"/>
    <x v="5"/>
    <x v="1"/>
    <x v="4"/>
    <x v="0"/>
    <n v="33800"/>
  </r>
  <r>
    <m/>
    <x v="1"/>
    <x v="0"/>
    <x v="1"/>
    <x v="2"/>
    <x v="1"/>
    <x v="6"/>
    <x v="56"/>
    <x v="1"/>
    <x v="3"/>
    <x v="0"/>
    <n v="32670"/>
  </r>
  <r>
    <m/>
    <x v="1"/>
    <x v="0"/>
    <x v="1"/>
    <x v="2"/>
    <x v="1"/>
    <x v="6"/>
    <x v="57"/>
    <x v="1"/>
    <x v="3"/>
    <x v="0"/>
    <n v="32400"/>
  </r>
  <r>
    <m/>
    <x v="1"/>
    <x v="0"/>
    <x v="1"/>
    <x v="2"/>
    <x v="1"/>
    <x v="6"/>
    <x v="58"/>
    <x v="1"/>
    <x v="3"/>
    <x v="0"/>
    <n v="31860"/>
  </r>
  <r>
    <m/>
    <x v="1"/>
    <x v="0"/>
    <x v="1"/>
    <x v="2"/>
    <x v="1"/>
    <x v="6"/>
    <x v="5"/>
    <x v="1"/>
    <x v="3"/>
    <x v="0"/>
    <n v="32130"/>
  </r>
  <r>
    <m/>
    <x v="1"/>
    <x v="0"/>
    <x v="1"/>
    <x v="2"/>
    <x v="1"/>
    <x v="1"/>
    <x v="56"/>
    <x v="1"/>
    <x v="4"/>
    <x v="0"/>
    <n v="37310"/>
  </r>
  <r>
    <m/>
    <x v="1"/>
    <x v="0"/>
    <x v="1"/>
    <x v="2"/>
    <x v="1"/>
    <x v="1"/>
    <x v="57"/>
    <x v="1"/>
    <x v="4"/>
    <x v="0"/>
    <n v="37040"/>
  </r>
  <r>
    <m/>
    <x v="1"/>
    <x v="0"/>
    <x v="1"/>
    <x v="2"/>
    <x v="1"/>
    <x v="1"/>
    <x v="58"/>
    <x v="1"/>
    <x v="4"/>
    <x v="0"/>
    <n v="36500"/>
  </r>
  <r>
    <m/>
    <x v="4"/>
    <x v="0"/>
    <x v="0"/>
    <x v="2"/>
    <x v="0"/>
    <x v="0"/>
    <x v="631"/>
    <x v="0"/>
    <x v="15"/>
    <x v="0"/>
    <n v="41730"/>
  </r>
  <r>
    <m/>
    <x v="4"/>
    <x v="0"/>
    <x v="0"/>
    <x v="2"/>
    <x v="0"/>
    <x v="0"/>
    <x v="632"/>
    <x v="0"/>
    <x v="15"/>
    <x v="0"/>
    <n v="38190"/>
  </r>
  <r>
    <m/>
    <x v="4"/>
    <x v="0"/>
    <x v="0"/>
    <x v="2"/>
    <x v="0"/>
    <x v="0"/>
    <x v="633"/>
    <x v="0"/>
    <x v="15"/>
    <x v="0"/>
    <n v="39960"/>
  </r>
  <r>
    <m/>
    <x v="4"/>
    <x v="0"/>
    <x v="0"/>
    <x v="2"/>
    <x v="0"/>
    <x v="0"/>
    <x v="634"/>
    <x v="0"/>
    <x v="15"/>
    <x v="0"/>
    <n v="44670"/>
  </r>
  <r>
    <m/>
    <x v="4"/>
    <x v="0"/>
    <x v="0"/>
    <x v="2"/>
    <x v="0"/>
    <x v="0"/>
    <x v="635"/>
    <x v="0"/>
    <x v="15"/>
    <x v="0"/>
    <n v="44670"/>
  </r>
  <r>
    <m/>
    <x v="4"/>
    <x v="0"/>
    <x v="0"/>
    <x v="2"/>
    <x v="0"/>
    <x v="0"/>
    <x v="636"/>
    <x v="0"/>
    <x v="15"/>
    <x v="0"/>
    <n v="44670"/>
  </r>
  <r>
    <m/>
    <x v="4"/>
    <x v="0"/>
    <x v="0"/>
    <x v="2"/>
    <x v="0"/>
    <x v="0"/>
    <x v="637"/>
    <x v="0"/>
    <x v="15"/>
    <x v="0"/>
    <n v="44670"/>
  </r>
  <r>
    <m/>
    <x v="4"/>
    <x v="0"/>
    <x v="0"/>
    <x v="2"/>
    <x v="0"/>
    <x v="0"/>
    <x v="638"/>
    <x v="0"/>
    <x v="15"/>
    <x v="0"/>
    <n v="44670"/>
  </r>
  <r>
    <m/>
    <x v="4"/>
    <x v="0"/>
    <x v="0"/>
    <x v="2"/>
    <x v="0"/>
    <x v="0"/>
    <x v="639"/>
    <x v="0"/>
    <x v="15"/>
    <x v="0"/>
    <n v="47990"/>
  </r>
  <r>
    <m/>
    <x v="4"/>
    <x v="0"/>
    <x v="0"/>
    <x v="2"/>
    <x v="0"/>
    <x v="0"/>
    <x v="640"/>
    <x v="0"/>
    <x v="15"/>
    <x v="0"/>
    <n v="47990"/>
  </r>
  <r>
    <m/>
    <x v="4"/>
    <x v="0"/>
    <x v="0"/>
    <x v="2"/>
    <x v="0"/>
    <x v="0"/>
    <x v="641"/>
    <x v="0"/>
    <x v="15"/>
    <x v="0"/>
    <n v="47990"/>
  </r>
  <r>
    <m/>
    <x v="1"/>
    <x v="1"/>
    <x v="0"/>
    <x v="3"/>
    <x v="3"/>
    <x v="3"/>
    <x v="68"/>
    <x v="0"/>
    <x v="1"/>
    <x v="0"/>
    <n v="25030"/>
  </r>
  <r>
    <m/>
    <x v="1"/>
    <x v="1"/>
    <x v="0"/>
    <x v="3"/>
    <x v="3"/>
    <x v="3"/>
    <x v="69"/>
    <x v="0"/>
    <x v="1"/>
    <x v="0"/>
    <n v="25030"/>
  </r>
  <r>
    <m/>
    <x v="1"/>
    <x v="1"/>
    <x v="0"/>
    <x v="3"/>
    <x v="3"/>
    <x v="3"/>
    <x v="70"/>
    <x v="0"/>
    <x v="1"/>
    <x v="0"/>
    <n v="25030"/>
  </r>
  <r>
    <m/>
    <x v="1"/>
    <x v="1"/>
    <x v="0"/>
    <x v="3"/>
    <x v="3"/>
    <x v="3"/>
    <x v="71"/>
    <x v="0"/>
    <x v="1"/>
    <x v="0"/>
    <n v="25030"/>
  </r>
  <r>
    <m/>
    <x v="1"/>
    <x v="1"/>
    <x v="0"/>
    <x v="3"/>
    <x v="3"/>
    <x v="3"/>
    <x v="72"/>
    <x v="0"/>
    <x v="1"/>
    <x v="0"/>
    <n v="25030"/>
  </r>
  <r>
    <m/>
    <x v="1"/>
    <x v="1"/>
    <x v="0"/>
    <x v="3"/>
    <x v="3"/>
    <x v="3"/>
    <x v="73"/>
    <x v="0"/>
    <x v="1"/>
    <x v="0"/>
    <n v="25030"/>
  </r>
  <r>
    <m/>
    <x v="1"/>
    <x v="1"/>
    <x v="0"/>
    <x v="3"/>
    <x v="3"/>
    <x v="3"/>
    <x v="74"/>
    <x v="0"/>
    <x v="1"/>
    <x v="0"/>
    <n v="25030"/>
  </r>
  <r>
    <m/>
    <x v="1"/>
    <x v="1"/>
    <x v="0"/>
    <x v="3"/>
    <x v="3"/>
    <x v="3"/>
    <x v="75"/>
    <x v="0"/>
    <x v="1"/>
    <x v="0"/>
    <n v="25030"/>
  </r>
  <r>
    <m/>
    <x v="1"/>
    <x v="1"/>
    <x v="0"/>
    <x v="3"/>
    <x v="3"/>
    <x v="3"/>
    <x v="76"/>
    <x v="0"/>
    <x v="1"/>
    <x v="0"/>
    <n v="25030"/>
  </r>
  <r>
    <m/>
    <x v="1"/>
    <x v="1"/>
    <x v="0"/>
    <x v="3"/>
    <x v="3"/>
    <x v="3"/>
    <x v="77"/>
    <x v="0"/>
    <x v="1"/>
    <x v="0"/>
    <n v="25030"/>
  </r>
  <r>
    <m/>
    <x v="1"/>
    <x v="1"/>
    <x v="0"/>
    <x v="3"/>
    <x v="3"/>
    <x v="3"/>
    <x v="78"/>
    <x v="0"/>
    <x v="1"/>
    <x v="0"/>
    <n v="25030"/>
  </r>
  <r>
    <m/>
    <x v="1"/>
    <x v="1"/>
    <x v="0"/>
    <x v="3"/>
    <x v="3"/>
    <x v="3"/>
    <x v="79"/>
    <x v="0"/>
    <x v="1"/>
    <x v="0"/>
    <n v="25030"/>
  </r>
  <r>
    <m/>
    <x v="1"/>
    <x v="1"/>
    <x v="0"/>
    <x v="3"/>
    <x v="3"/>
    <x v="9"/>
    <x v="3"/>
    <x v="0"/>
    <x v="1"/>
    <x v="0"/>
    <n v="27450"/>
  </r>
  <r>
    <m/>
    <x v="1"/>
    <x v="1"/>
    <x v="0"/>
    <x v="3"/>
    <x v="3"/>
    <x v="9"/>
    <x v="2"/>
    <x v="0"/>
    <x v="1"/>
    <x v="0"/>
    <n v="27450"/>
  </r>
  <r>
    <m/>
    <x v="1"/>
    <x v="1"/>
    <x v="0"/>
    <x v="3"/>
    <x v="3"/>
    <x v="9"/>
    <x v="63"/>
    <x v="0"/>
    <x v="1"/>
    <x v="0"/>
    <n v="27450"/>
  </r>
  <r>
    <m/>
    <x v="1"/>
    <x v="1"/>
    <x v="1"/>
    <x v="4"/>
    <x v="4"/>
    <x v="1"/>
    <x v="1"/>
    <x v="1"/>
    <x v="1"/>
    <x v="0"/>
    <n v="24340"/>
  </r>
  <r>
    <m/>
    <x v="1"/>
    <x v="1"/>
    <x v="1"/>
    <x v="4"/>
    <x v="4"/>
    <x v="1"/>
    <x v="93"/>
    <x v="1"/>
    <x v="1"/>
    <x v="0"/>
    <n v="24660"/>
  </r>
  <r>
    <m/>
    <x v="1"/>
    <x v="1"/>
    <x v="1"/>
    <x v="4"/>
    <x v="1"/>
    <x v="6"/>
    <x v="94"/>
    <x v="1"/>
    <x v="2"/>
    <x v="0"/>
    <n v="23420"/>
  </r>
  <r>
    <m/>
    <x v="1"/>
    <x v="1"/>
    <x v="1"/>
    <x v="4"/>
    <x v="1"/>
    <x v="6"/>
    <x v="1"/>
    <x v="1"/>
    <x v="2"/>
    <x v="0"/>
    <n v="22880"/>
  </r>
  <r>
    <m/>
    <x v="1"/>
    <x v="1"/>
    <x v="1"/>
    <x v="4"/>
    <x v="1"/>
    <x v="6"/>
    <x v="93"/>
    <x v="1"/>
    <x v="2"/>
    <x v="0"/>
    <n v="23150"/>
  </r>
  <r>
    <m/>
    <x v="1"/>
    <x v="1"/>
    <x v="1"/>
    <x v="4"/>
    <x v="1"/>
    <x v="1"/>
    <x v="94"/>
    <x v="1"/>
    <x v="1"/>
    <x v="0"/>
    <n v="27050"/>
  </r>
  <r>
    <m/>
    <x v="1"/>
    <x v="1"/>
    <x v="1"/>
    <x v="4"/>
    <x v="1"/>
    <x v="1"/>
    <x v="1"/>
    <x v="1"/>
    <x v="1"/>
    <x v="0"/>
    <n v="26510"/>
  </r>
  <r>
    <m/>
    <x v="1"/>
    <x v="1"/>
    <x v="1"/>
    <x v="4"/>
    <x v="1"/>
    <x v="1"/>
    <x v="93"/>
    <x v="1"/>
    <x v="1"/>
    <x v="0"/>
    <n v="26780"/>
  </r>
  <r>
    <m/>
    <x v="1"/>
    <x v="1"/>
    <x v="1"/>
    <x v="0"/>
    <x v="4"/>
    <x v="6"/>
    <x v="95"/>
    <x v="1"/>
    <x v="2"/>
    <x v="0"/>
    <n v="24440"/>
  </r>
  <r>
    <m/>
    <x v="1"/>
    <x v="1"/>
    <x v="1"/>
    <x v="0"/>
    <x v="4"/>
    <x v="6"/>
    <x v="96"/>
    <x v="1"/>
    <x v="2"/>
    <x v="0"/>
    <n v="23760"/>
  </r>
  <r>
    <m/>
    <x v="1"/>
    <x v="1"/>
    <x v="1"/>
    <x v="0"/>
    <x v="4"/>
    <x v="6"/>
    <x v="98"/>
    <x v="1"/>
    <x v="2"/>
    <x v="0"/>
    <n v="24100"/>
  </r>
  <r>
    <m/>
    <x v="1"/>
    <x v="1"/>
    <x v="1"/>
    <x v="0"/>
    <x v="4"/>
    <x v="1"/>
    <x v="95"/>
    <x v="1"/>
    <x v="1"/>
    <x v="0"/>
    <n v="27640"/>
  </r>
  <r>
    <m/>
    <x v="1"/>
    <x v="1"/>
    <x v="1"/>
    <x v="0"/>
    <x v="4"/>
    <x v="1"/>
    <x v="96"/>
    <x v="1"/>
    <x v="1"/>
    <x v="0"/>
    <n v="26960"/>
  </r>
  <r>
    <m/>
    <x v="1"/>
    <x v="1"/>
    <x v="1"/>
    <x v="3"/>
    <x v="2"/>
    <x v="9"/>
    <x v="65"/>
    <x v="1"/>
    <x v="2"/>
    <x v="0"/>
    <n v="26180"/>
  </r>
  <r>
    <m/>
    <x v="1"/>
    <x v="1"/>
    <x v="1"/>
    <x v="3"/>
    <x v="2"/>
    <x v="9"/>
    <x v="66"/>
    <x v="1"/>
    <x v="2"/>
    <x v="0"/>
    <n v="26180"/>
  </r>
  <r>
    <m/>
    <x v="1"/>
    <x v="1"/>
    <x v="1"/>
    <x v="3"/>
    <x v="2"/>
    <x v="9"/>
    <x v="67"/>
    <x v="1"/>
    <x v="2"/>
    <x v="0"/>
    <n v="26180"/>
  </r>
  <r>
    <m/>
    <x v="1"/>
    <x v="1"/>
    <x v="1"/>
    <x v="3"/>
    <x v="2"/>
    <x v="9"/>
    <x v="68"/>
    <x v="1"/>
    <x v="2"/>
    <x v="0"/>
    <n v="26180"/>
  </r>
  <r>
    <m/>
    <x v="1"/>
    <x v="1"/>
    <x v="1"/>
    <x v="3"/>
    <x v="2"/>
    <x v="9"/>
    <x v="69"/>
    <x v="1"/>
    <x v="2"/>
    <x v="0"/>
    <n v="26180"/>
  </r>
  <r>
    <m/>
    <x v="1"/>
    <x v="1"/>
    <x v="1"/>
    <x v="3"/>
    <x v="2"/>
    <x v="9"/>
    <x v="70"/>
    <x v="1"/>
    <x v="2"/>
    <x v="0"/>
    <n v="26180"/>
  </r>
  <r>
    <m/>
    <x v="1"/>
    <x v="1"/>
    <x v="1"/>
    <x v="3"/>
    <x v="2"/>
    <x v="9"/>
    <x v="71"/>
    <x v="1"/>
    <x v="2"/>
    <x v="0"/>
    <n v="26180"/>
  </r>
  <r>
    <m/>
    <x v="1"/>
    <x v="1"/>
    <x v="1"/>
    <x v="3"/>
    <x v="2"/>
    <x v="9"/>
    <x v="72"/>
    <x v="1"/>
    <x v="2"/>
    <x v="0"/>
    <n v="26180"/>
  </r>
  <r>
    <m/>
    <x v="1"/>
    <x v="1"/>
    <x v="1"/>
    <x v="3"/>
    <x v="2"/>
    <x v="9"/>
    <x v="73"/>
    <x v="1"/>
    <x v="2"/>
    <x v="0"/>
    <n v="26180"/>
  </r>
  <r>
    <m/>
    <x v="1"/>
    <x v="1"/>
    <x v="1"/>
    <x v="3"/>
    <x v="2"/>
    <x v="9"/>
    <x v="74"/>
    <x v="1"/>
    <x v="2"/>
    <x v="0"/>
    <n v="26180"/>
  </r>
  <r>
    <m/>
    <x v="1"/>
    <x v="1"/>
    <x v="1"/>
    <x v="3"/>
    <x v="2"/>
    <x v="9"/>
    <x v="75"/>
    <x v="1"/>
    <x v="2"/>
    <x v="0"/>
    <n v="26180"/>
  </r>
  <r>
    <m/>
    <x v="1"/>
    <x v="1"/>
    <x v="1"/>
    <x v="3"/>
    <x v="2"/>
    <x v="9"/>
    <x v="76"/>
    <x v="1"/>
    <x v="2"/>
    <x v="0"/>
    <n v="26180"/>
  </r>
  <r>
    <m/>
    <x v="1"/>
    <x v="1"/>
    <x v="1"/>
    <x v="3"/>
    <x v="2"/>
    <x v="9"/>
    <x v="77"/>
    <x v="1"/>
    <x v="2"/>
    <x v="0"/>
    <n v="26180"/>
  </r>
  <r>
    <m/>
    <x v="1"/>
    <x v="1"/>
    <x v="1"/>
    <x v="3"/>
    <x v="2"/>
    <x v="9"/>
    <x v="78"/>
    <x v="1"/>
    <x v="2"/>
    <x v="0"/>
    <n v="26180"/>
  </r>
  <r>
    <m/>
    <x v="1"/>
    <x v="1"/>
    <x v="1"/>
    <x v="3"/>
    <x v="2"/>
    <x v="9"/>
    <x v="79"/>
    <x v="1"/>
    <x v="2"/>
    <x v="0"/>
    <n v="26180"/>
  </r>
  <r>
    <m/>
    <x v="1"/>
    <x v="1"/>
    <x v="1"/>
    <x v="3"/>
    <x v="3"/>
    <x v="2"/>
    <x v="3"/>
    <x v="1"/>
    <x v="1"/>
    <x v="0"/>
    <n v="23140"/>
  </r>
  <r>
    <m/>
    <x v="0"/>
    <x v="0"/>
    <x v="0"/>
    <x v="0"/>
    <x v="0"/>
    <x v="0"/>
    <x v="85"/>
    <x v="0"/>
    <x v="10"/>
    <x v="0"/>
    <n v="19300"/>
  </r>
  <r>
    <m/>
    <x v="4"/>
    <x v="0"/>
    <x v="0"/>
    <x v="2"/>
    <x v="0"/>
    <x v="0"/>
    <x v="642"/>
    <x v="0"/>
    <x v="15"/>
    <x v="0"/>
    <n v="47990"/>
  </r>
  <r>
    <m/>
    <x v="1"/>
    <x v="1"/>
    <x v="0"/>
    <x v="3"/>
    <x v="3"/>
    <x v="9"/>
    <x v="64"/>
    <x v="0"/>
    <x v="1"/>
    <x v="0"/>
    <n v="27450"/>
  </r>
  <r>
    <m/>
    <x v="1"/>
    <x v="1"/>
    <x v="1"/>
    <x v="0"/>
    <x v="4"/>
    <x v="1"/>
    <x v="98"/>
    <x v="1"/>
    <x v="1"/>
    <x v="0"/>
    <n v="27300"/>
  </r>
  <r>
    <m/>
    <x v="1"/>
    <x v="1"/>
    <x v="1"/>
    <x v="3"/>
    <x v="3"/>
    <x v="2"/>
    <x v="2"/>
    <x v="1"/>
    <x v="1"/>
    <x v="0"/>
    <n v="23140"/>
  </r>
  <r>
    <m/>
    <x v="1"/>
    <x v="0"/>
    <x v="0"/>
    <x v="3"/>
    <x v="2"/>
    <x v="5"/>
    <x v="47"/>
    <x v="0"/>
    <x v="3"/>
    <x v="0"/>
    <n v="27730"/>
  </r>
  <r>
    <m/>
    <x v="1"/>
    <x v="0"/>
    <x v="0"/>
    <x v="2"/>
    <x v="2"/>
    <x v="8"/>
    <x v="55"/>
    <x v="0"/>
    <x v="3"/>
    <x v="0"/>
    <n v="39890"/>
  </r>
  <r>
    <m/>
    <x v="1"/>
    <x v="0"/>
    <x v="0"/>
    <x v="2"/>
    <x v="4"/>
    <x v="1"/>
    <x v="57"/>
    <x v="0"/>
    <x v="4"/>
    <x v="0"/>
    <n v="31680"/>
  </r>
  <r>
    <m/>
    <x v="1"/>
    <x v="0"/>
    <x v="1"/>
    <x v="3"/>
    <x v="3"/>
    <x v="8"/>
    <x v="52"/>
    <x v="1"/>
    <x v="4"/>
    <x v="0"/>
    <n v="42250"/>
  </r>
  <r>
    <m/>
    <x v="1"/>
    <x v="0"/>
    <x v="1"/>
    <x v="2"/>
    <x v="1"/>
    <x v="1"/>
    <x v="5"/>
    <x v="1"/>
    <x v="4"/>
    <x v="0"/>
    <n v="36770"/>
  </r>
  <r>
    <s v="CSKU00046_2EK"/>
    <x v="1"/>
    <x v="1"/>
    <x v="1"/>
    <x v="4"/>
    <x v="1"/>
    <x v="6"/>
    <x v="570"/>
    <x v="1"/>
    <x v="5"/>
    <x v="0"/>
    <n v="23420"/>
  </r>
  <r>
    <s v="CSKU00312_2EK"/>
    <x v="1"/>
    <x v="1"/>
    <x v="1"/>
    <x v="5"/>
    <x v="1"/>
    <x v="6"/>
    <x v="571"/>
    <x v="1"/>
    <x v="5"/>
    <x v="0"/>
    <n v="25300"/>
  </r>
  <r>
    <s v="CSKU00847_2EK"/>
    <x v="1"/>
    <x v="1"/>
    <x v="1"/>
    <x v="1"/>
    <x v="4"/>
    <x v="1"/>
    <x v="572"/>
    <x v="1"/>
    <x v="6"/>
    <x v="0"/>
    <n v="23140"/>
  </r>
  <r>
    <s v="CSKU01216_2EK"/>
    <x v="1"/>
    <x v="1"/>
    <x v="1"/>
    <x v="4"/>
    <x v="1"/>
    <x v="6"/>
    <x v="567"/>
    <x v="1"/>
    <x v="5"/>
    <x v="0"/>
    <n v="27800"/>
  </r>
  <r>
    <s v="CSKU00047_2EK"/>
    <x v="1"/>
    <x v="1"/>
    <x v="1"/>
    <x v="4"/>
    <x v="1"/>
    <x v="1"/>
    <x v="570"/>
    <x v="1"/>
    <x v="6"/>
    <x v="0"/>
    <n v="27050"/>
  </r>
  <r>
    <s v="CSKU00313_2EK"/>
    <x v="1"/>
    <x v="1"/>
    <x v="1"/>
    <x v="5"/>
    <x v="1"/>
    <x v="1"/>
    <x v="571"/>
    <x v="1"/>
    <x v="6"/>
    <x v="0"/>
    <n v="28760"/>
  </r>
  <r>
    <s v="CSKU00314_2EK"/>
    <x v="1"/>
    <x v="1"/>
    <x v="1"/>
    <x v="4"/>
    <x v="4"/>
    <x v="6"/>
    <x v="571"/>
    <x v="1"/>
    <x v="5"/>
    <x v="0"/>
    <n v="26180"/>
  </r>
  <r>
    <s v="CSKU00315_2EK"/>
    <x v="1"/>
    <x v="1"/>
    <x v="1"/>
    <x v="4"/>
    <x v="4"/>
    <x v="1"/>
    <x v="571"/>
    <x v="1"/>
    <x v="6"/>
    <x v="0"/>
    <n v="28890"/>
  </r>
  <r>
    <s v="CSKU00316_2EK"/>
    <x v="1"/>
    <x v="1"/>
    <x v="1"/>
    <x v="4"/>
    <x v="1"/>
    <x v="6"/>
    <x v="571"/>
    <x v="1"/>
    <x v="5"/>
    <x v="0"/>
    <n v="27800"/>
  </r>
  <r>
    <s v="CSKU00317_2EK"/>
    <x v="1"/>
    <x v="1"/>
    <x v="1"/>
    <x v="4"/>
    <x v="1"/>
    <x v="1"/>
    <x v="571"/>
    <x v="1"/>
    <x v="6"/>
    <x v="0"/>
    <n v="31430"/>
  </r>
  <r>
    <s v="CSKU00744_2EK"/>
    <x v="1"/>
    <x v="1"/>
    <x v="0"/>
    <x v="1"/>
    <x v="4"/>
    <x v="6"/>
    <x v="8"/>
    <x v="0"/>
    <x v="5"/>
    <x v="0"/>
    <n v="19840"/>
  </r>
  <r>
    <s v="CSKU00848_2EK"/>
    <x v="1"/>
    <x v="1"/>
    <x v="1"/>
    <x v="1"/>
    <x v="1"/>
    <x v="6"/>
    <x v="572"/>
    <x v="1"/>
    <x v="5"/>
    <x v="0"/>
    <n v="22570"/>
  </r>
  <r>
    <s v="CSKU00849_2EK"/>
    <x v="1"/>
    <x v="1"/>
    <x v="1"/>
    <x v="1"/>
    <x v="1"/>
    <x v="1"/>
    <x v="572"/>
    <x v="1"/>
    <x v="6"/>
    <x v="0"/>
    <n v="25190"/>
  </r>
  <r>
    <s v="CSKU00850_2EK"/>
    <x v="1"/>
    <x v="1"/>
    <x v="1"/>
    <x v="5"/>
    <x v="4"/>
    <x v="6"/>
    <x v="572"/>
    <x v="1"/>
    <x v="5"/>
    <x v="0"/>
    <n v="23870"/>
  </r>
  <r>
    <s v="CSKU00851_2EK"/>
    <x v="1"/>
    <x v="1"/>
    <x v="1"/>
    <x v="5"/>
    <x v="4"/>
    <x v="1"/>
    <x v="572"/>
    <x v="1"/>
    <x v="6"/>
    <x v="0"/>
    <n v="26390"/>
  </r>
  <r>
    <s v="CSKU00852_2EK"/>
    <x v="1"/>
    <x v="1"/>
    <x v="1"/>
    <x v="5"/>
    <x v="1"/>
    <x v="6"/>
    <x v="572"/>
    <x v="1"/>
    <x v="5"/>
    <x v="0"/>
    <n v="25300"/>
  </r>
  <r>
    <s v="CSKU00853_2EK"/>
    <x v="1"/>
    <x v="1"/>
    <x v="1"/>
    <x v="5"/>
    <x v="1"/>
    <x v="1"/>
    <x v="572"/>
    <x v="1"/>
    <x v="6"/>
    <x v="0"/>
    <n v="28760"/>
  </r>
  <r>
    <s v="CSKU00854_2EK"/>
    <x v="1"/>
    <x v="1"/>
    <x v="1"/>
    <x v="4"/>
    <x v="4"/>
    <x v="6"/>
    <x v="572"/>
    <x v="1"/>
    <x v="5"/>
    <x v="0"/>
    <n v="26180"/>
  </r>
  <r>
    <s v="CSKU00855_2EK"/>
    <x v="1"/>
    <x v="1"/>
    <x v="1"/>
    <x v="4"/>
    <x v="4"/>
    <x v="1"/>
    <x v="572"/>
    <x v="1"/>
    <x v="6"/>
    <x v="0"/>
    <n v="28890"/>
  </r>
  <r>
    <s v="CSKU00856_2EK"/>
    <x v="1"/>
    <x v="1"/>
    <x v="1"/>
    <x v="4"/>
    <x v="1"/>
    <x v="6"/>
    <x v="572"/>
    <x v="1"/>
    <x v="5"/>
    <x v="0"/>
    <n v="27800"/>
  </r>
  <r>
    <s v="CSKU00857_2EK"/>
    <x v="1"/>
    <x v="1"/>
    <x v="1"/>
    <x v="4"/>
    <x v="1"/>
    <x v="1"/>
    <x v="572"/>
    <x v="1"/>
    <x v="6"/>
    <x v="0"/>
    <n v="31430"/>
  </r>
  <r>
    <s v="CSKU01104_2EK"/>
    <x v="1"/>
    <x v="1"/>
    <x v="0"/>
    <x v="1"/>
    <x v="4"/>
    <x v="6"/>
    <x v="9"/>
    <x v="0"/>
    <x v="5"/>
    <x v="0"/>
    <n v="19840"/>
  </r>
  <r>
    <s v="CSKU01105_2EK"/>
    <x v="1"/>
    <x v="1"/>
    <x v="0"/>
    <x v="1"/>
    <x v="4"/>
    <x v="1"/>
    <x v="9"/>
    <x v="0"/>
    <x v="6"/>
    <x v="0"/>
    <n v="21880"/>
  </r>
  <r>
    <s v="CSKU01106_2EK"/>
    <x v="1"/>
    <x v="1"/>
    <x v="0"/>
    <x v="1"/>
    <x v="1"/>
    <x v="6"/>
    <x v="9"/>
    <x v="0"/>
    <x v="5"/>
    <x v="0"/>
    <n v="21470"/>
  </r>
  <r>
    <s v="CSKU01107_2EK"/>
    <x v="1"/>
    <x v="1"/>
    <x v="0"/>
    <x v="1"/>
    <x v="1"/>
    <x v="1"/>
    <x v="9"/>
    <x v="0"/>
    <x v="6"/>
    <x v="0"/>
    <n v="23830"/>
  </r>
  <r>
    <s v="CSKU01108_2EK"/>
    <x v="1"/>
    <x v="1"/>
    <x v="0"/>
    <x v="5"/>
    <x v="4"/>
    <x v="6"/>
    <x v="9"/>
    <x v="0"/>
    <x v="5"/>
    <x v="0"/>
    <n v="22780"/>
  </r>
  <r>
    <s v="CSKU01109_2EK"/>
    <x v="1"/>
    <x v="1"/>
    <x v="0"/>
    <x v="5"/>
    <x v="4"/>
    <x v="1"/>
    <x v="9"/>
    <x v="0"/>
    <x v="6"/>
    <x v="0"/>
    <n v="25030"/>
  </r>
  <r>
    <s v="CSKU01110_2EK"/>
    <x v="1"/>
    <x v="1"/>
    <x v="0"/>
    <x v="5"/>
    <x v="1"/>
    <x v="6"/>
    <x v="9"/>
    <x v="0"/>
    <x v="5"/>
    <x v="0"/>
    <n v="24190"/>
  </r>
  <r>
    <s v="CSKU01217_2EK"/>
    <x v="1"/>
    <x v="1"/>
    <x v="1"/>
    <x v="4"/>
    <x v="1"/>
    <x v="1"/>
    <x v="567"/>
    <x v="1"/>
    <x v="6"/>
    <x v="0"/>
    <n v="31430"/>
  </r>
  <r>
    <s v="CSKU01464_2EK"/>
    <x v="1"/>
    <x v="1"/>
    <x v="0"/>
    <x v="1"/>
    <x v="4"/>
    <x v="6"/>
    <x v="438"/>
    <x v="0"/>
    <x v="5"/>
    <x v="0"/>
    <n v="19840"/>
  </r>
  <r>
    <s v="CSKU01465_2EK"/>
    <x v="1"/>
    <x v="1"/>
    <x v="0"/>
    <x v="1"/>
    <x v="4"/>
    <x v="1"/>
    <x v="438"/>
    <x v="0"/>
    <x v="6"/>
    <x v="0"/>
    <n v="21880"/>
  </r>
  <r>
    <s v="CSKU01466_2EK"/>
    <x v="1"/>
    <x v="1"/>
    <x v="0"/>
    <x v="1"/>
    <x v="1"/>
    <x v="6"/>
    <x v="438"/>
    <x v="0"/>
    <x v="5"/>
    <x v="0"/>
    <n v="21470"/>
  </r>
  <r>
    <s v="CSKU01467_2EK"/>
    <x v="1"/>
    <x v="1"/>
    <x v="0"/>
    <x v="1"/>
    <x v="1"/>
    <x v="1"/>
    <x v="438"/>
    <x v="0"/>
    <x v="6"/>
    <x v="0"/>
    <n v="23830"/>
  </r>
  <r>
    <s v="CSKU01468_2EK"/>
    <x v="1"/>
    <x v="1"/>
    <x v="0"/>
    <x v="5"/>
    <x v="4"/>
    <x v="6"/>
    <x v="438"/>
    <x v="0"/>
    <x v="5"/>
    <x v="0"/>
    <n v="22780"/>
  </r>
  <r>
    <s v="CSKU01469_2EK"/>
    <x v="1"/>
    <x v="1"/>
    <x v="0"/>
    <x v="5"/>
    <x v="4"/>
    <x v="1"/>
    <x v="438"/>
    <x v="0"/>
    <x v="6"/>
    <x v="0"/>
    <n v="25030"/>
  </r>
  <r>
    <s v="CSKU01470_2EK"/>
    <x v="1"/>
    <x v="1"/>
    <x v="0"/>
    <x v="5"/>
    <x v="1"/>
    <x v="6"/>
    <x v="438"/>
    <x v="0"/>
    <x v="5"/>
    <x v="0"/>
    <n v="24190"/>
  </r>
  <r>
    <s v="CSKU01471_2EK"/>
    <x v="1"/>
    <x v="1"/>
    <x v="0"/>
    <x v="5"/>
    <x v="1"/>
    <x v="1"/>
    <x v="438"/>
    <x v="0"/>
    <x v="6"/>
    <x v="0"/>
    <n v="27270"/>
  </r>
  <r>
    <s v="CSKU01472_2EK"/>
    <x v="1"/>
    <x v="1"/>
    <x v="0"/>
    <x v="4"/>
    <x v="4"/>
    <x v="6"/>
    <x v="438"/>
    <x v="0"/>
    <x v="5"/>
    <x v="0"/>
    <n v="25020"/>
  </r>
  <r>
    <s v="CSKU01734_2EK"/>
    <x v="1"/>
    <x v="1"/>
    <x v="0"/>
    <x v="1"/>
    <x v="4"/>
    <x v="6"/>
    <x v="10"/>
    <x v="0"/>
    <x v="5"/>
    <x v="0"/>
    <n v="19840"/>
  </r>
  <r>
    <s v="CSKU01735_2EK"/>
    <x v="1"/>
    <x v="1"/>
    <x v="0"/>
    <x v="1"/>
    <x v="4"/>
    <x v="1"/>
    <x v="10"/>
    <x v="0"/>
    <x v="6"/>
    <x v="0"/>
    <n v="21880"/>
  </r>
  <r>
    <s v="CSKU01736_2EK"/>
    <x v="1"/>
    <x v="1"/>
    <x v="0"/>
    <x v="1"/>
    <x v="1"/>
    <x v="6"/>
    <x v="10"/>
    <x v="0"/>
    <x v="5"/>
    <x v="0"/>
    <n v="21470"/>
  </r>
  <r>
    <s v="CSKU01737_2EK"/>
    <x v="1"/>
    <x v="1"/>
    <x v="0"/>
    <x v="1"/>
    <x v="1"/>
    <x v="1"/>
    <x v="10"/>
    <x v="0"/>
    <x v="6"/>
    <x v="0"/>
    <n v="23830"/>
  </r>
  <r>
    <s v="CSKU01738_2EK"/>
    <x v="1"/>
    <x v="1"/>
    <x v="0"/>
    <x v="5"/>
    <x v="4"/>
    <x v="6"/>
    <x v="10"/>
    <x v="0"/>
    <x v="5"/>
    <x v="0"/>
    <n v="22780"/>
  </r>
  <r>
    <s v="CSKU01739_2EK"/>
    <x v="1"/>
    <x v="1"/>
    <x v="0"/>
    <x v="5"/>
    <x v="4"/>
    <x v="1"/>
    <x v="10"/>
    <x v="0"/>
    <x v="6"/>
    <x v="0"/>
    <n v="25030"/>
  </r>
  <r>
    <s v="CSKU01740_2EK"/>
    <x v="1"/>
    <x v="1"/>
    <x v="0"/>
    <x v="5"/>
    <x v="1"/>
    <x v="6"/>
    <x v="10"/>
    <x v="0"/>
    <x v="5"/>
    <x v="0"/>
    <n v="24190"/>
  </r>
  <r>
    <s v="CSKU01741_2EK"/>
    <x v="1"/>
    <x v="1"/>
    <x v="0"/>
    <x v="5"/>
    <x v="1"/>
    <x v="1"/>
    <x v="10"/>
    <x v="0"/>
    <x v="6"/>
    <x v="0"/>
    <n v="27270"/>
  </r>
  <r>
    <m/>
    <x v="1"/>
    <x v="0"/>
    <x v="0"/>
    <x v="3"/>
    <x v="2"/>
    <x v="4"/>
    <x v="48"/>
    <x v="0"/>
    <x v="3"/>
    <x v="0"/>
    <n v="32560"/>
  </r>
  <r>
    <m/>
    <x v="1"/>
    <x v="0"/>
    <x v="0"/>
    <x v="3"/>
    <x v="2"/>
    <x v="4"/>
    <x v="49"/>
    <x v="0"/>
    <x v="3"/>
    <x v="0"/>
    <n v="32560"/>
  </r>
  <r>
    <m/>
    <x v="1"/>
    <x v="0"/>
    <x v="0"/>
    <x v="3"/>
    <x v="2"/>
    <x v="4"/>
    <x v="50"/>
    <x v="0"/>
    <x v="3"/>
    <x v="0"/>
    <n v="32560"/>
  </r>
  <r>
    <m/>
    <x v="1"/>
    <x v="0"/>
    <x v="0"/>
    <x v="3"/>
    <x v="2"/>
    <x v="4"/>
    <x v="51"/>
    <x v="0"/>
    <x v="3"/>
    <x v="0"/>
    <n v="32560"/>
  </r>
  <r>
    <m/>
    <x v="1"/>
    <x v="0"/>
    <x v="0"/>
    <x v="3"/>
    <x v="2"/>
    <x v="4"/>
    <x v="52"/>
    <x v="0"/>
    <x v="3"/>
    <x v="0"/>
    <n v="32560"/>
  </r>
  <r>
    <m/>
    <x v="1"/>
    <x v="0"/>
    <x v="0"/>
    <x v="3"/>
    <x v="2"/>
    <x v="4"/>
    <x v="53"/>
    <x v="0"/>
    <x v="3"/>
    <x v="0"/>
    <n v="32560"/>
  </r>
  <r>
    <m/>
    <x v="1"/>
    <x v="0"/>
    <x v="0"/>
    <x v="3"/>
    <x v="2"/>
    <x v="4"/>
    <x v="54"/>
    <x v="0"/>
    <x v="3"/>
    <x v="0"/>
    <n v="32560"/>
  </r>
  <r>
    <m/>
    <x v="1"/>
    <x v="0"/>
    <x v="0"/>
    <x v="3"/>
    <x v="2"/>
    <x v="4"/>
    <x v="55"/>
    <x v="0"/>
    <x v="3"/>
    <x v="0"/>
    <n v="32560"/>
  </r>
  <r>
    <m/>
    <x v="1"/>
    <x v="0"/>
    <x v="0"/>
    <x v="3"/>
    <x v="2"/>
    <x v="4"/>
    <x v="59"/>
    <x v="0"/>
    <x v="3"/>
    <x v="0"/>
    <n v="32560"/>
  </r>
  <r>
    <m/>
    <x v="1"/>
    <x v="0"/>
    <x v="0"/>
    <x v="3"/>
    <x v="2"/>
    <x v="4"/>
    <x v="60"/>
    <x v="0"/>
    <x v="3"/>
    <x v="0"/>
    <n v="32560"/>
  </r>
  <r>
    <m/>
    <x v="1"/>
    <x v="0"/>
    <x v="0"/>
    <x v="3"/>
    <x v="2"/>
    <x v="4"/>
    <x v="61"/>
    <x v="0"/>
    <x v="3"/>
    <x v="0"/>
    <n v="32560"/>
  </r>
  <r>
    <m/>
    <x v="1"/>
    <x v="0"/>
    <x v="0"/>
    <x v="3"/>
    <x v="2"/>
    <x v="4"/>
    <x v="62"/>
    <x v="0"/>
    <x v="3"/>
    <x v="0"/>
    <n v="32560"/>
  </r>
  <r>
    <m/>
    <x v="1"/>
    <x v="0"/>
    <x v="0"/>
    <x v="3"/>
    <x v="2"/>
    <x v="4"/>
    <x v="43"/>
    <x v="0"/>
    <x v="3"/>
    <x v="0"/>
    <n v="32560"/>
  </r>
  <r>
    <s v="CSKU00204_2EK"/>
    <x v="1"/>
    <x v="1"/>
    <x v="0"/>
    <x v="1"/>
    <x v="4"/>
    <x v="6"/>
    <x v="7"/>
    <x v="0"/>
    <x v="5"/>
    <x v="0"/>
    <n v="15780"/>
  </r>
  <r>
    <s v="CSKU00205_2EK"/>
    <x v="1"/>
    <x v="1"/>
    <x v="0"/>
    <x v="1"/>
    <x v="4"/>
    <x v="1"/>
    <x v="7"/>
    <x v="0"/>
    <x v="6"/>
    <x v="0"/>
    <n v="17820"/>
  </r>
  <r>
    <s v="CSKU00206_2EK"/>
    <x v="1"/>
    <x v="1"/>
    <x v="0"/>
    <x v="1"/>
    <x v="1"/>
    <x v="6"/>
    <x v="7"/>
    <x v="0"/>
    <x v="5"/>
    <x v="0"/>
    <n v="17110"/>
  </r>
  <r>
    <s v="CSKU00207_2EK"/>
    <x v="1"/>
    <x v="1"/>
    <x v="0"/>
    <x v="1"/>
    <x v="1"/>
    <x v="1"/>
    <x v="7"/>
    <x v="0"/>
    <x v="6"/>
    <x v="0"/>
    <n v="19470"/>
  </r>
  <r>
    <s v="CSKU00208_2EK"/>
    <x v="1"/>
    <x v="1"/>
    <x v="0"/>
    <x v="5"/>
    <x v="4"/>
    <x v="6"/>
    <x v="7"/>
    <x v="0"/>
    <x v="5"/>
    <x v="0"/>
    <n v="17960"/>
  </r>
  <r>
    <s v="CSKU00209_2EK"/>
    <x v="1"/>
    <x v="1"/>
    <x v="0"/>
    <x v="5"/>
    <x v="4"/>
    <x v="1"/>
    <x v="7"/>
    <x v="0"/>
    <x v="6"/>
    <x v="0"/>
    <n v="20210"/>
  </r>
  <r>
    <s v="CSKU00210_2EK"/>
    <x v="1"/>
    <x v="1"/>
    <x v="0"/>
    <x v="5"/>
    <x v="1"/>
    <x v="6"/>
    <x v="7"/>
    <x v="0"/>
    <x v="5"/>
    <x v="0"/>
    <n v="19090"/>
  </r>
  <r>
    <s v="CSKU00211_2EK"/>
    <x v="1"/>
    <x v="1"/>
    <x v="0"/>
    <x v="5"/>
    <x v="1"/>
    <x v="1"/>
    <x v="7"/>
    <x v="0"/>
    <x v="6"/>
    <x v="0"/>
    <n v="22170"/>
  </r>
  <r>
    <s v="CSKU00212_2EK"/>
    <x v="1"/>
    <x v="1"/>
    <x v="0"/>
    <x v="4"/>
    <x v="4"/>
    <x v="6"/>
    <x v="7"/>
    <x v="0"/>
    <x v="5"/>
    <x v="0"/>
    <n v="20200"/>
  </r>
  <r>
    <s v="CSKU00213_2EK"/>
    <x v="1"/>
    <x v="1"/>
    <x v="0"/>
    <x v="4"/>
    <x v="4"/>
    <x v="1"/>
    <x v="7"/>
    <x v="0"/>
    <x v="6"/>
    <x v="0"/>
    <n v="22630"/>
  </r>
  <r>
    <m/>
    <x v="1"/>
    <x v="0"/>
    <x v="0"/>
    <x v="2"/>
    <x v="2"/>
    <x v="8"/>
    <x v="59"/>
    <x v="0"/>
    <x v="3"/>
    <x v="0"/>
    <n v="39890"/>
  </r>
  <r>
    <m/>
    <x v="1"/>
    <x v="0"/>
    <x v="0"/>
    <x v="2"/>
    <x v="2"/>
    <x v="8"/>
    <x v="60"/>
    <x v="0"/>
    <x v="3"/>
    <x v="0"/>
    <n v="39890"/>
  </r>
  <r>
    <m/>
    <x v="1"/>
    <x v="0"/>
    <x v="0"/>
    <x v="2"/>
    <x v="2"/>
    <x v="8"/>
    <x v="61"/>
    <x v="0"/>
    <x v="3"/>
    <x v="0"/>
    <n v="39890"/>
  </r>
  <r>
    <m/>
    <x v="1"/>
    <x v="0"/>
    <x v="0"/>
    <x v="2"/>
    <x v="2"/>
    <x v="8"/>
    <x v="62"/>
    <x v="0"/>
    <x v="3"/>
    <x v="0"/>
    <n v="39890"/>
  </r>
  <r>
    <m/>
    <x v="1"/>
    <x v="0"/>
    <x v="0"/>
    <x v="2"/>
    <x v="2"/>
    <x v="8"/>
    <x v="43"/>
    <x v="0"/>
    <x v="3"/>
    <x v="0"/>
    <n v="39890"/>
  </r>
  <r>
    <m/>
    <x v="1"/>
    <x v="0"/>
    <x v="0"/>
    <x v="2"/>
    <x v="2"/>
    <x v="8"/>
    <x v="4"/>
    <x v="0"/>
    <x v="3"/>
    <x v="0"/>
    <n v="39890"/>
  </r>
  <r>
    <m/>
    <x v="1"/>
    <x v="0"/>
    <x v="0"/>
    <x v="2"/>
    <x v="2"/>
    <x v="8"/>
    <x v="44"/>
    <x v="0"/>
    <x v="3"/>
    <x v="0"/>
    <n v="39890"/>
  </r>
  <r>
    <m/>
    <x v="1"/>
    <x v="0"/>
    <x v="0"/>
    <x v="2"/>
    <x v="2"/>
    <x v="8"/>
    <x v="45"/>
    <x v="0"/>
    <x v="3"/>
    <x v="0"/>
    <n v="39890"/>
  </r>
  <r>
    <m/>
    <x v="1"/>
    <x v="0"/>
    <x v="0"/>
    <x v="2"/>
    <x v="2"/>
    <x v="8"/>
    <x v="6"/>
    <x v="0"/>
    <x v="3"/>
    <x v="0"/>
    <n v="39890"/>
  </r>
  <r>
    <m/>
    <x v="1"/>
    <x v="0"/>
    <x v="0"/>
    <x v="2"/>
    <x v="2"/>
    <x v="8"/>
    <x v="46"/>
    <x v="0"/>
    <x v="3"/>
    <x v="0"/>
    <n v="39890"/>
  </r>
  <r>
    <m/>
    <x v="1"/>
    <x v="0"/>
    <x v="0"/>
    <x v="2"/>
    <x v="2"/>
    <x v="8"/>
    <x v="47"/>
    <x v="0"/>
    <x v="3"/>
    <x v="0"/>
    <n v="39890"/>
  </r>
  <r>
    <m/>
    <x v="1"/>
    <x v="0"/>
    <x v="0"/>
    <x v="2"/>
    <x v="3"/>
    <x v="5"/>
    <x v="48"/>
    <x v="0"/>
    <x v="4"/>
    <x v="0"/>
    <n v="33320"/>
  </r>
  <r>
    <m/>
    <x v="1"/>
    <x v="0"/>
    <x v="0"/>
    <x v="2"/>
    <x v="3"/>
    <x v="5"/>
    <x v="49"/>
    <x v="0"/>
    <x v="4"/>
    <x v="0"/>
    <n v="33320"/>
  </r>
  <r>
    <m/>
    <x v="1"/>
    <x v="0"/>
    <x v="0"/>
    <x v="2"/>
    <x v="3"/>
    <x v="5"/>
    <x v="50"/>
    <x v="0"/>
    <x v="4"/>
    <x v="0"/>
    <n v="33320"/>
  </r>
  <r>
    <m/>
    <x v="1"/>
    <x v="0"/>
    <x v="0"/>
    <x v="2"/>
    <x v="4"/>
    <x v="1"/>
    <x v="58"/>
    <x v="0"/>
    <x v="4"/>
    <x v="0"/>
    <n v="29860"/>
  </r>
  <r>
    <m/>
    <x v="1"/>
    <x v="0"/>
    <x v="0"/>
    <x v="2"/>
    <x v="4"/>
    <x v="1"/>
    <x v="5"/>
    <x v="0"/>
    <x v="4"/>
    <x v="0"/>
    <n v="30770"/>
  </r>
  <r>
    <m/>
    <x v="1"/>
    <x v="0"/>
    <x v="0"/>
    <x v="2"/>
    <x v="1"/>
    <x v="6"/>
    <x v="56"/>
    <x v="0"/>
    <x v="3"/>
    <x v="0"/>
    <n v="31160"/>
  </r>
  <r>
    <m/>
    <x v="1"/>
    <x v="0"/>
    <x v="0"/>
    <x v="2"/>
    <x v="1"/>
    <x v="6"/>
    <x v="57"/>
    <x v="0"/>
    <x v="3"/>
    <x v="0"/>
    <n v="30260"/>
  </r>
  <r>
    <m/>
    <x v="1"/>
    <x v="0"/>
    <x v="0"/>
    <x v="2"/>
    <x v="1"/>
    <x v="6"/>
    <x v="58"/>
    <x v="0"/>
    <x v="3"/>
    <x v="0"/>
    <n v="28460"/>
  </r>
  <r>
    <m/>
    <x v="1"/>
    <x v="0"/>
    <x v="0"/>
    <x v="2"/>
    <x v="1"/>
    <x v="6"/>
    <x v="5"/>
    <x v="0"/>
    <x v="3"/>
    <x v="0"/>
    <n v="29360"/>
  </r>
  <r>
    <m/>
    <x v="1"/>
    <x v="0"/>
    <x v="0"/>
    <x v="2"/>
    <x v="1"/>
    <x v="1"/>
    <x v="56"/>
    <x v="0"/>
    <x v="4"/>
    <x v="0"/>
    <n v="35290"/>
  </r>
  <r>
    <m/>
    <x v="1"/>
    <x v="0"/>
    <x v="0"/>
    <x v="2"/>
    <x v="1"/>
    <x v="1"/>
    <x v="57"/>
    <x v="0"/>
    <x v="4"/>
    <x v="0"/>
    <n v="34390"/>
  </r>
  <r>
    <m/>
    <x v="1"/>
    <x v="0"/>
    <x v="0"/>
    <x v="2"/>
    <x v="1"/>
    <x v="1"/>
    <x v="58"/>
    <x v="0"/>
    <x v="4"/>
    <x v="0"/>
    <n v="32590"/>
  </r>
  <r>
    <m/>
    <x v="1"/>
    <x v="0"/>
    <x v="0"/>
    <x v="2"/>
    <x v="1"/>
    <x v="1"/>
    <x v="5"/>
    <x v="0"/>
    <x v="4"/>
    <x v="0"/>
    <n v="33490"/>
  </r>
  <r>
    <m/>
    <x v="1"/>
    <x v="0"/>
    <x v="1"/>
    <x v="0"/>
    <x v="4"/>
    <x v="6"/>
    <x v="56"/>
    <x v="1"/>
    <x v="3"/>
    <x v="0"/>
    <n v="24400"/>
  </r>
  <r>
    <m/>
    <x v="1"/>
    <x v="0"/>
    <x v="1"/>
    <x v="0"/>
    <x v="4"/>
    <x v="6"/>
    <x v="57"/>
    <x v="1"/>
    <x v="3"/>
    <x v="0"/>
    <n v="23880"/>
  </r>
  <r>
    <m/>
    <x v="1"/>
    <x v="0"/>
    <x v="1"/>
    <x v="3"/>
    <x v="3"/>
    <x v="8"/>
    <x v="53"/>
    <x v="1"/>
    <x v="4"/>
    <x v="0"/>
    <n v="42250"/>
  </r>
  <r>
    <m/>
    <x v="1"/>
    <x v="0"/>
    <x v="1"/>
    <x v="3"/>
    <x v="3"/>
    <x v="8"/>
    <x v="54"/>
    <x v="1"/>
    <x v="4"/>
    <x v="0"/>
    <n v="42250"/>
  </r>
  <r>
    <m/>
    <x v="1"/>
    <x v="0"/>
    <x v="1"/>
    <x v="3"/>
    <x v="3"/>
    <x v="8"/>
    <x v="55"/>
    <x v="1"/>
    <x v="4"/>
    <x v="0"/>
    <n v="42250"/>
  </r>
  <r>
    <m/>
    <x v="1"/>
    <x v="0"/>
    <x v="1"/>
    <x v="3"/>
    <x v="3"/>
    <x v="8"/>
    <x v="59"/>
    <x v="1"/>
    <x v="4"/>
    <x v="0"/>
    <n v="42250"/>
  </r>
  <r>
    <m/>
    <x v="1"/>
    <x v="0"/>
    <x v="1"/>
    <x v="3"/>
    <x v="3"/>
    <x v="8"/>
    <x v="60"/>
    <x v="1"/>
    <x v="4"/>
    <x v="0"/>
    <n v="42250"/>
  </r>
  <r>
    <m/>
    <x v="1"/>
    <x v="0"/>
    <x v="1"/>
    <x v="3"/>
    <x v="3"/>
    <x v="8"/>
    <x v="61"/>
    <x v="1"/>
    <x v="4"/>
    <x v="0"/>
    <n v="42250"/>
  </r>
  <r>
    <m/>
    <x v="1"/>
    <x v="0"/>
    <x v="1"/>
    <x v="3"/>
    <x v="3"/>
    <x v="8"/>
    <x v="62"/>
    <x v="1"/>
    <x v="4"/>
    <x v="0"/>
    <n v="42250"/>
  </r>
  <r>
    <m/>
    <x v="1"/>
    <x v="0"/>
    <x v="1"/>
    <x v="3"/>
    <x v="3"/>
    <x v="8"/>
    <x v="43"/>
    <x v="1"/>
    <x v="4"/>
    <x v="0"/>
    <n v="42250"/>
  </r>
  <r>
    <m/>
    <x v="1"/>
    <x v="0"/>
    <x v="1"/>
    <x v="3"/>
    <x v="3"/>
    <x v="8"/>
    <x v="4"/>
    <x v="1"/>
    <x v="4"/>
    <x v="0"/>
    <n v="42250"/>
  </r>
  <r>
    <m/>
    <x v="1"/>
    <x v="0"/>
    <x v="1"/>
    <x v="3"/>
    <x v="3"/>
    <x v="8"/>
    <x v="44"/>
    <x v="1"/>
    <x v="4"/>
    <x v="0"/>
    <n v="42250"/>
  </r>
  <r>
    <m/>
    <x v="1"/>
    <x v="0"/>
    <x v="1"/>
    <x v="3"/>
    <x v="3"/>
    <x v="8"/>
    <x v="45"/>
    <x v="1"/>
    <x v="4"/>
    <x v="0"/>
    <n v="42250"/>
  </r>
  <r>
    <m/>
    <x v="1"/>
    <x v="0"/>
    <x v="1"/>
    <x v="3"/>
    <x v="3"/>
    <x v="8"/>
    <x v="6"/>
    <x v="1"/>
    <x v="4"/>
    <x v="0"/>
    <n v="42250"/>
  </r>
  <r>
    <m/>
    <x v="1"/>
    <x v="0"/>
    <x v="1"/>
    <x v="3"/>
    <x v="3"/>
    <x v="8"/>
    <x v="46"/>
    <x v="1"/>
    <x v="4"/>
    <x v="0"/>
    <n v="42250"/>
  </r>
  <r>
    <m/>
    <x v="1"/>
    <x v="0"/>
    <x v="1"/>
    <x v="3"/>
    <x v="3"/>
    <x v="8"/>
    <x v="47"/>
    <x v="1"/>
    <x v="4"/>
    <x v="0"/>
    <n v="42250"/>
  </r>
  <r>
    <m/>
    <x v="1"/>
    <x v="0"/>
    <x v="1"/>
    <x v="2"/>
    <x v="2"/>
    <x v="5"/>
    <x v="48"/>
    <x v="1"/>
    <x v="3"/>
    <x v="0"/>
    <n v="30900"/>
  </r>
  <r>
    <m/>
    <x v="1"/>
    <x v="0"/>
    <x v="0"/>
    <x v="2"/>
    <x v="3"/>
    <x v="5"/>
    <x v="51"/>
    <x v="0"/>
    <x v="4"/>
    <x v="0"/>
    <n v="33320"/>
  </r>
  <r>
    <m/>
    <x v="1"/>
    <x v="0"/>
    <x v="0"/>
    <x v="2"/>
    <x v="3"/>
    <x v="5"/>
    <x v="52"/>
    <x v="0"/>
    <x v="4"/>
    <x v="0"/>
    <n v="33320"/>
  </r>
  <r>
    <m/>
    <x v="1"/>
    <x v="0"/>
    <x v="1"/>
    <x v="0"/>
    <x v="4"/>
    <x v="6"/>
    <x v="58"/>
    <x v="1"/>
    <x v="3"/>
    <x v="0"/>
    <n v="22840"/>
  </r>
  <r>
    <m/>
    <x v="1"/>
    <x v="0"/>
    <x v="1"/>
    <x v="2"/>
    <x v="2"/>
    <x v="5"/>
    <x v="49"/>
    <x v="1"/>
    <x v="3"/>
    <x v="0"/>
    <n v="30900"/>
  </r>
  <r>
    <m/>
    <x v="1"/>
    <x v="0"/>
    <x v="1"/>
    <x v="0"/>
    <x v="4"/>
    <x v="6"/>
    <x v="5"/>
    <x v="1"/>
    <x v="3"/>
    <x v="0"/>
    <n v="23360"/>
  </r>
  <r>
    <m/>
    <x v="1"/>
    <x v="0"/>
    <x v="1"/>
    <x v="0"/>
    <x v="4"/>
    <x v="1"/>
    <x v="56"/>
    <x v="1"/>
    <x v="4"/>
    <x v="0"/>
    <n v="27600"/>
  </r>
  <r>
    <m/>
    <x v="1"/>
    <x v="0"/>
    <x v="1"/>
    <x v="0"/>
    <x v="4"/>
    <x v="1"/>
    <x v="57"/>
    <x v="1"/>
    <x v="4"/>
    <x v="0"/>
    <n v="27080"/>
  </r>
  <r>
    <m/>
    <x v="1"/>
    <x v="0"/>
    <x v="1"/>
    <x v="0"/>
    <x v="4"/>
    <x v="1"/>
    <x v="58"/>
    <x v="1"/>
    <x v="4"/>
    <x v="0"/>
    <n v="26040"/>
  </r>
  <r>
    <m/>
    <x v="1"/>
    <x v="0"/>
    <x v="1"/>
    <x v="0"/>
    <x v="4"/>
    <x v="1"/>
    <x v="5"/>
    <x v="1"/>
    <x v="4"/>
    <x v="0"/>
    <n v="26560"/>
  </r>
  <r>
    <m/>
    <x v="1"/>
    <x v="0"/>
    <x v="1"/>
    <x v="0"/>
    <x v="1"/>
    <x v="6"/>
    <x v="56"/>
    <x v="1"/>
    <x v="3"/>
    <x v="0"/>
    <n v="26090"/>
  </r>
  <r>
    <m/>
    <x v="1"/>
    <x v="0"/>
    <x v="1"/>
    <x v="0"/>
    <x v="1"/>
    <x v="6"/>
    <x v="57"/>
    <x v="1"/>
    <x v="3"/>
    <x v="0"/>
    <n v="25460"/>
  </r>
  <r>
    <m/>
    <x v="1"/>
    <x v="0"/>
    <x v="1"/>
    <x v="0"/>
    <x v="1"/>
    <x v="6"/>
    <x v="58"/>
    <x v="1"/>
    <x v="3"/>
    <x v="0"/>
    <n v="24200"/>
  </r>
  <r>
    <m/>
    <x v="1"/>
    <x v="0"/>
    <x v="1"/>
    <x v="0"/>
    <x v="1"/>
    <x v="6"/>
    <x v="5"/>
    <x v="1"/>
    <x v="3"/>
    <x v="0"/>
    <n v="24830"/>
  </r>
  <r>
    <m/>
    <x v="1"/>
    <x v="0"/>
    <x v="1"/>
    <x v="0"/>
    <x v="1"/>
    <x v="1"/>
    <x v="56"/>
    <x v="1"/>
    <x v="4"/>
    <x v="0"/>
    <n v="30300"/>
  </r>
  <r>
    <m/>
    <x v="1"/>
    <x v="0"/>
    <x v="1"/>
    <x v="0"/>
    <x v="1"/>
    <x v="1"/>
    <x v="57"/>
    <x v="1"/>
    <x v="4"/>
    <x v="0"/>
    <n v="29670"/>
  </r>
  <r>
    <m/>
    <x v="1"/>
    <x v="0"/>
    <x v="1"/>
    <x v="0"/>
    <x v="1"/>
    <x v="1"/>
    <x v="58"/>
    <x v="1"/>
    <x v="4"/>
    <x v="0"/>
    <n v="28410"/>
  </r>
  <r>
    <m/>
    <x v="1"/>
    <x v="0"/>
    <x v="1"/>
    <x v="2"/>
    <x v="2"/>
    <x v="5"/>
    <x v="50"/>
    <x v="1"/>
    <x v="3"/>
    <x v="0"/>
    <n v="30900"/>
  </r>
  <r>
    <m/>
    <x v="1"/>
    <x v="0"/>
    <x v="1"/>
    <x v="2"/>
    <x v="2"/>
    <x v="5"/>
    <x v="51"/>
    <x v="1"/>
    <x v="3"/>
    <x v="0"/>
    <n v="30900"/>
  </r>
  <r>
    <m/>
    <x v="1"/>
    <x v="0"/>
    <x v="1"/>
    <x v="2"/>
    <x v="2"/>
    <x v="5"/>
    <x v="52"/>
    <x v="1"/>
    <x v="3"/>
    <x v="0"/>
    <n v="30900"/>
  </r>
  <r>
    <m/>
    <x v="1"/>
    <x v="0"/>
    <x v="1"/>
    <x v="2"/>
    <x v="2"/>
    <x v="5"/>
    <x v="53"/>
    <x v="1"/>
    <x v="3"/>
    <x v="0"/>
    <n v="30900"/>
  </r>
  <r>
    <m/>
    <x v="1"/>
    <x v="0"/>
    <x v="1"/>
    <x v="2"/>
    <x v="2"/>
    <x v="5"/>
    <x v="54"/>
    <x v="1"/>
    <x v="3"/>
    <x v="0"/>
    <n v="30900"/>
  </r>
  <r>
    <m/>
    <x v="1"/>
    <x v="0"/>
    <x v="1"/>
    <x v="2"/>
    <x v="2"/>
    <x v="5"/>
    <x v="55"/>
    <x v="1"/>
    <x v="3"/>
    <x v="0"/>
    <n v="30900"/>
  </r>
  <r>
    <m/>
    <x v="1"/>
    <x v="0"/>
    <x v="1"/>
    <x v="2"/>
    <x v="2"/>
    <x v="5"/>
    <x v="59"/>
    <x v="1"/>
    <x v="3"/>
    <x v="0"/>
    <n v="30900"/>
  </r>
  <r>
    <m/>
    <x v="1"/>
    <x v="0"/>
    <x v="1"/>
    <x v="2"/>
    <x v="2"/>
    <x v="5"/>
    <x v="60"/>
    <x v="1"/>
    <x v="3"/>
    <x v="0"/>
    <n v="30900"/>
  </r>
  <r>
    <m/>
    <x v="1"/>
    <x v="0"/>
    <x v="1"/>
    <x v="2"/>
    <x v="2"/>
    <x v="5"/>
    <x v="61"/>
    <x v="1"/>
    <x v="3"/>
    <x v="0"/>
    <n v="30900"/>
  </r>
  <r>
    <m/>
    <x v="1"/>
    <x v="0"/>
    <x v="1"/>
    <x v="2"/>
    <x v="2"/>
    <x v="5"/>
    <x v="62"/>
    <x v="1"/>
    <x v="3"/>
    <x v="0"/>
    <n v="30900"/>
  </r>
  <r>
    <m/>
    <x v="1"/>
    <x v="0"/>
    <x v="1"/>
    <x v="2"/>
    <x v="2"/>
    <x v="5"/>
    <x v="43"/>
    <x v="1"/>
    <x v="3"/>
    <x v="0"/>
    <n v="30900"/>
  </r>
  <r>
    <m/>
    <x v="1"/>
    <x v="0"/>
    <x v="1"/>
    <x v="2"/>
    <x v="2"/>
    <x v="5"/>
    <x v="4"/>
    <x v="1"/>
    <x v="3"/>
    <x v="0"/>
    <n v="30900"/>
  </r>
  <r>
    <m/>
    <x v="1"/>
    <x v="0"/>
    <x v="1"/>
    <x v="2"/>
    <x v="2"/>
    <x v="5"/>
    <x v="44"/>
    <x v="1"/>
    <x v="3"/>
    <x v="0"/>
    <n v="30900"/>
  </r>
  <r>
    <m/>
    <x v="1"/>
    <x v="0"/>
    <x v="1"/>
    <x v="2"/>
    <x v="2"/>
    <x v="5"/>
    <x v="45"/>
    <x v="1"/>
    <x v="3"/>
    <x v="0"/>
    <n v="30900"/>
  </r>
  <r>
    <m/>
    <x v="0"/>
    <x v="0"/>
    <x v="0"/>
    <x v="0"/>
    <x v="0"/>
    <x v="0"/>
    <x v="86"/>
    <x v="0"/>
    <x v="10"/>
    <x v="0"/>
    <n v="19300"/>
  </r>
  <r>
    <m/>
    <x v="0"/>
    <x v="0"/>
    <x v="0"/>
    <x v="0"/>
    <x v="0"/>
    <x v="0"/>
    <x v="87"/>
    <x v="0"/>
    <x v="10"/>
    <x v="0"/>
    <n v="19300"/>
  </r>
  <r>
    <m/>
    <x v="0"/>
    <x v="0"/>
    <x v="0"/>
    <x v="0"/>
    <x v="0"/>
    <x v="0"/>
    <x v="88"/>
    <x v="0"/>
    <x v="0"/>
    <x v="0"/>
    <n v="34440"/>
  </r>
  <r>
    <m/>
    <x v="0"/>
    <x v="0"/>
    <x v="0"/>
    <x v="0"/>
    <x v="0"/>
    <x v="0"/>
    <x v="89"/>
    <x v="0"/>
    <x v="0"/>
    <x v="0"/>
    <n v="30820"/>
  </r>
  <r>
    <m/>
    <x v="0"/>
    <x v="0"/>
    <x v="0"/>
    <x v="0"/>
    <x v="0"/>
    <x v="0"/>
    <x v="90"/>
    <x v="0"/>
    <x v="0"/>
    <x v="0"/>
    <n v="32630"/>
  </r>
  <r>
    <m/>
    <x v="0"/>
    <x v="0"/>
    <x v="0"/>
    <x v="0"/>
    <x v="0"/>
    <x v="0"/>
    <x v="91"/>
    <x v="0"/>
    <x v="0"/>
    <x v="0"/>
    <n v="34180"/>
  </r>
  <r>
    <m/>
    <x v="0"/>
    <x v="0"/>
    <x v="0"/>
    <x v="0"/>
    <x v="0"/>
    <x v="0"/>
    <x v="92"/>
    <x v="0"/>
    <x v="0"/>
    <x v="0"/>
    <n v="34180"/>
  </r>
  <r>
    <m/>
    <x v="0"/>
    <x v="0"/>
    <x v="0"/>
    <x v="0"/>
    <x v="0"/>
    <x v="0"/>
    <x v="97"/>
    <x v="0"/>
    <x v="0"/>
    <x v="0"/>
    <n v="34180"/>
  </r>
  <r>
    <m/>
    <x v="0"/>
    <x v="0"/>
    <x v="0"/>
    <x v="0"/>
    <x v="0"/>
    <x v="0"/>
    <x v="108"/>
    <x v="0"/>
    <x v="0"/>
    <x v="0"/>
    <n v="34180"/>
  </r>
  <r>
    <m/>
    <x v="0"/>
    <x v="0"/>
    <x v="0"/>
    <x v="0"/>
    <x v="0"/>
    <x v="0"/>
    <x v="109"/>
    <x v="0"/>
    <x v="0"/>
    <x v="0"/>
    <n v="34180"/>
  </r>
  <r>
    <m/>
    <x v="0"/>
    <x v="0"/>
    <x v="0"/>
    <x v="0"/>
    <x v="0"/>
    <x v="0"/>
    <x v="110"/>
    <x v="0"/>
    <x v="0"/>
    <x v="0"/>
    <n v="37540"/>
  </r>
  <r>
    <m/>
    <x v="0"/>
    <x v="0"/>
    <x v="0"/>
    <x v="0"/>
    <x v="0"/>
    <x v="0"/>
    <x v="111"/>
    <x v="0"/>
    <x v="0"/>
    <x v="0"/>
    <n v="37540"/>
  </r>
  <r>
    <m/>
    <x v="0"/>
    <x v="0"/>
    <x v="0"/>
    <x v="0"/>
    <x v="0"/>
    <x v="0"/>
    <x v="112"/>
    <x v="0"/>
    <x v="0"/>
    <x v="0"/>
    <n v="37540"/>
  </r>
  <r>
    <m/>
    <x v="0"/>
    <x v="0"/>
    <x v="0"/>
    <x v="0"/>
    <x v="0"/>
    <x v="0"/>
    <x v="113"/>
    <x v="0"/>
    <x v="0"/>
    <x v="0"/>
    <n v="37540"/>
  </r>
  <r>
    <m/>
    <x v="4"/>
    <x v="0"/>
    <x v="0"/>
    <x v="2"/>
    <x v="0"/>
    <x v="0"/>
    <x v="643"/>
    <x v="0"/>
    <x v="15"/>
    <x v="0"/>
    <n v="47990"/>
  </r>
  <r>
    <m/>
    <x v="1"/>
    <x v="1"/>
    <x v="0"/>
    <x v="1"/>
    <x v="4"/>
    <x v="6"/>
    <x v="94"/>
    <x v="0"/>
    <x v="2"/>
    <x v="0"/>
    <n v="16680"/>
  </r>
  <r>
    <m/>
    <x v="1"/>
    <x v="1"/>
    <x v="0"/>
    <x v="1"/>
    <x v="4"/>
    <x v="6"/>
    <x v="1"/>
    <x v="0"/>
    <x v="2"/>
    <x v="0"/>
    <n v="14880"/>
  </r>
  <r>
    <m/>
    <x v="1"/>
    <x v="1"/>
    <x v="0"/>
    <x v="1"/>
    <x v="4"/>
    <x v="6"/>
    <x v="93"/>
    <x v="0"/>
    <x v="2"/>
    <x v="0"/>
    <n v="15780"/>
  </r>
  <r>
    <m/>
    <x v="1"/>
    <x v="1"/>
    <x v="0"/>
    <x v="1"/>
    <x v="4"/>
    <x v="1"/>
    <x v="94"/>
    <x v="0"/>
    <x v="1"/>
    <x v="0"/>
    <n v="18720"/>
  </r>
  <r>
    <m/>
    <x v="1"/>
    <x v="1"/>
    <x v="0"/>
    <x v="1"/>
    <x v="4"/>
    <x v="1"/>
    <x v="1"/>
    <x v="0"/>
    <x v="1"/>
    <x v="0"/>
    <n v="16920"/>
  </r>
  <r>
    <m/>
    <x v="1"/>
    <x v="1"/>
    <x v="0"/>
    <x v="1"/>
    <x v="4"/>
    <x v="1"/>
    <x v="93"/>
    <x v="0"/>
    <x v="1"/>
    <x v="0"/>
    <n v="17820"/>
  </r>
  <r>
    <m/>
    <x v="1"/>
    <x v="1"/>
    <x v="0"/>
    <x v="1"/>
    <x v="4"/>
    <x v="1"/>
    <x v="540"/>
    <x v="0"/>
    <x v="20"/>
    <x v="0"/>
    <n v="17040"/>
  </r>
  <r>
    <m/>
    <x v="1"/>
    <x v="1"/>
    <x v="0"/>
    <x v="1"/>
    <x v="4"/>
    <x v="1"/>
    <x v="541"/>
    <x v="0"/>
    <x v="20"/>
    <x v="0"/>
    <n v="15240"/>
  </r>
  <r>
    <m/>
    <x v="1"/>
    <x v="1"/>
    <x v="0"/>
    <x v="1"/>
    <x v="4"/>
    <x v="1"/>
    <x v="542"/>
    <x v="0"/>
    <x v="20"/>
    <x v="0"/>
    <n v="16140"/>
  </r>
  <r>
    <m/>
    <x v="1"/>
    <x v="1"/>
    <x v="0"/>
    <x v="1"/>
    <x v="1"/>
    <x v="6"/>
    <x v="94"/>
    <x v="0"/>
    <x v="2"/>
    <x v="0"/>
    <n v="18160"/>
  </r>
  <r>
    <m/>
    <x v="1"/>
    <x v="1"/>
    <x v="0"/>
    <x v="1"/>
    <x v="1"/>
    <x v="6"/>
    <x v="1"/>
    <x v="0"/>
    <x v="2"/>
    <x v="0"/>
    <n v="16060"/>
  </r>
  <r>
    <m/>
    <x v="1"/>
    <x v="1"/>
    <x v="0"/>
    <x v="1"/>
    <x v="1"/>
    <x v="6"/>
    <x v="93"/>
    <x v="0"/>
    <x v="2"/>
    <x v="0"/>
    <n v="17110"/>
  </r>
  <r>
    <m/>
    <x v="1"/>
    <x v="1"/>
    <x v="0"/>
    <x v="1"/>
    <x v="1"/>
    <x v="1"/>
    <x v="94"/>
    <x v="0"/>
    <x v="1"/>
    <x v="0"/>
    <n v="20520"/>
  </r>
  <r>
    <m/>
    <x v="1"/>
    <x v="1"/>
    <x v="0"/>
    <x v="3"/>
    <x v="3"/>
    <x v="9"/>
    <x v="65"/>
    <x v="0"/>
    <x v="1"/>
    <x v="0"/>
    <n v="27450"/>
  </r>
  <r>
    <m/>
    <x v="1"/>
    <x v="1"/>
    <x v="0"/>
    <x v="3"/>
    <x v="3"/>
    <x v="9"/>
    <x v="66"/>
    <x v="0"/>
    <x v="1"/>
    <x v="0"/>
    <n v="27450"/>
  </r>
  <r>
    <m/>
    <x v="1"/>
    <x v="1"/>
    <x v="0"/>
    <x v="3"/>
    <x v="3"/>
    <x v="9"/>
    <x v="67"/>
    <x v="0"/>
    <x v="1"/>
    <x v="0"/>
    <n v="27450"/>
  </r>
  <r>
    <m/>
    <x v="1"/>
    <x v="1"/>
    <x v="0"/>
    <x v="3"/>
    <x v="3"/>
    <x v="9"/>
    <x v="68"/>
    <x v="0"/>
    <x v="1"/>
    <x v="0"/>
    <n v="27450"/>
  </r>
  <r>
    <m/>
    <x v="1"/>
    <x v="1"/>
    <x v="0"/>
    <x v="3"/>
    <x v="3"/>
    <x v="9"/>
    <x v="69"/>
    <x v="0"/>
    <x v="1"/>
    <x v="0"/>
    <n v="27450"/>
  </r>
  <r>
    <m/>
    <x v="1"/>
    <x v="1"/>
    <x v="0"/>
    <x v="3"/>
    <x v="3"/>
    <x v="9"/>
    <x v="70"/>
    <x v="0"/>
    <x v="1"/>
    <x v="0"/>
    <n v="27450"/>
  </r>
  <r>
    <m/>
    <x v="1"/>
    <x v="1"/>
    <x v="0"/>
    <x v="3"/>
    <x v="3"/>
    <x v="9"/>
    <x v="71"/>
    <x v="0"/>
    <x v="1"/>
    <x v="0"/>
    <n v="27450"/>
  </r>
  <r>
    <m/>
    <x v="1"/>
    <x v="1"/>
    <x v="0"/>
    <x v="3"/>
    <x v="3"/>
    <x v="9"/>
    <x v="72"/>
    <x v="0"/>
    <x v="1"/>
    <x v="0"/>
    <n v="27450"/>
  </r>
  <r>
    <m/>
    <x v="1"/>
    <x v="1"/>
    <x v="0"/>
    <x v="3"/>
    <x v="3"/>
    <x v="9"/>
    <x v="73"/>
    <x v="0"/>
    <x v="1"/>
    <x v="0"/>
    <n v="27450"/>
  </r>
  <r>
    <m/>
    <x v="1"/>
    <x v="1"/>
    <x v="0"/>
    <x v="3"/>
    <x v="3"/>
    <x v="9"/>
    <x v="74"/>
    <x v="0"/>
    <x v="1"/>
    <x v="0"/>
    <n v="27450"/>
  </r>
  <r>
    <m/>
    <x v="1"/>
    <x v="1"/>
    <x v="0"/>
    <x v="3"/>
    <x v="3"/>
    <x v="9"/>
    <x v="75"/>
    <x v="0"/>
    <x v="1"/>
    <x v="0"/>
    <n v="27450"/>
  </r>
  <r>
    <m/>
    <x v="1"/>
    <x v="1"/>
    <x v="0"/>
    <x v="3"/>
    <x v="3"/>
    <x v="9"/>
    <x v="76"/>
    <x v="0"/>
    <x v="1"/>
    <x v="0"/>
    <n v="27450"/>
  </r>
  <r>
    <m/>
    <x v="1"/>
    <x v="1"/>
    <x v="0"/>
    <x v="3"/>
    <x v="3"/>
    <x v="9"/>
    <x v="77"/>
    <x v="0"/>
    <x v="1"/>
    <x v="0"/>
    <n v="27450"/>
  </r>
  <r>
    <m/>
    <x v="1"/>
    <x v="1"/>
    <x v="0"/>
    <x v="3"/>
    <x v="3"/>
    <x v="9"/>
    <x v="78"/>
    <x v="0"/>
    <x v="1"/>
    <x v="0"/>
    <n v="27450"/>
  </r>
  <r>
    <m/>
    <x v="1"/>
    <x v="1"/>
    <x v="0"/>
    <x v="3"/>
    <x v="3"/>
    <x v="9"/>
    <x v="79"/>
    <x v="0"/>
    <x v="1"/>
    <x v="0"/>
    <n v="27450"/>
  </r>
  <r>
    <m/>
    <x v="1"/>
    <x v="1"/>
    <x v="0"/>
    <x v="2"/>
    <x v="2"/>
    <x v="2"/>
    <x v="3"/>
    <x v="0"/>
    <x v="2"/>
    <x v="0"/>
    <n v="21470"/>
  </r>
  <r>
    <m/>
    <x v="1"/>
    <x v="1"/>
    <x v="1"/>
    <x v="0"/>
    <x v="1"/>
    <x v="6"/>
    <x v="95"/>
    <x v="1"/>
    <x v="2"/>
    <x v="0"/>
    <n v="25740"/>
  </r>
  <r>
    <m/>
    <x v="1"/>
    <x v="1"/>
    <x v="1"/>
    <x v="0"/>
    <x v="1"/>
    <x v="6"/>
    <x v="96"/>
    <x v="1"/>
    <x v="2"/>
    <x v="0"/>
    <n v="25160"/>
  </r>
  <r>
    <m/>
    <x v="1"/>
    <x v="1"/>
    <x v="1"/>
    <x v="0"/>
    <x v="1"/>
    <x v="6"/>
    <x v="98"/>
    <x v="1"/>
    <x v="2"/>
    <x v="0"/>
    <n v="25450"/>
  </r>
  <r>
    <m/>
    <x v="1"/>
    <x v="1"/>
    <x v="1"/>
    <x v="0"/>
    <x v="1"/>
    <x v="1"/>
    <x v="95"/>
    <x v="1"/>
    <x v="1"/>
    <x v="0"/>
    <n v="29950"/>
  </r>
  <r>
    <m/>
    <x v="1"/>
    <x v="1"/>
    <x v="1"/>
    <x v="0"/>
    <x v="1"/>
    <x v="1"/>
    <x v="96"/>
    <x v="1"/>
    <x v="1"/>
    <x v="0"/>
    <n v="29370"/>
  </r>
  <r>
    <m/>
    <x v="1"/>
    <x v="1"/>
    <x v="1"/>
    <x v="0"/>
    <x v="1"/>
    <x v="1"/>
    <x v="98"/>
    <x v="1"/>
    <x v="1"/>
    <x v="0"/>
    <n v="29660"/>
  </r>
  <r>
    <m/>
    <x v="1"/>
    <x v="1"/>
    <x v="1"/>
    <x v="3"/>
    <x v="2"/>
    <x v="2"/>
    <x v="3"/>
    <x v="1"/>
    <x v="2"/>
    <x v="0"/>
    <n v="20860"/>
  </r>
  <r>
    <m/>
    <x v="1"/>
    <x v="1"/>
    <x v="1"/>
    <x v="3"/>
    <x v="2"/>
    <x v="2"/>
    <x v="2"/>
    <x v="1"/>
    <x v="2"/>
    <x v="0"/>
    <n v="20860"/>
  </r>
  <r>
    <m/>
    <x v="1"/>
    <x v="1"/>
    <x v="1"/>
    <x v="3"/>
    <x v="2"/>
    <x v="2"/>
    <x v="63"/>
    <x v="1"/>
    <x v="2"/>
    <x v="0"/>
    <n v="20860"/>
  </r>
  <r>
    <m/>
    <x v="1"/>
    <x v="1"/>
    <x v="1"/>
    <x v="3"/>
    <x v="2"/>
    <x v="2"/>
    <x v="64"/>
    <x v="1"/>
    <x v="2"/>
    <x v="0"/>
    <n v="20860"/>
  </r>
  <r>
    <m/>
    <x v="1"/>
    <x v="1"/>
    <x v="1"/>
    <x v="3"/>
    <x v="2"/>
    <x v="2"/>
    <x v="65"/>
    <x v="1"/>
    <x v="2"/>
    <x v="0"/>
    <n v="20860"/>
  </r>
  <r>
    <m/>
    <x v="1"/>
    <x v="1"/>
    <x v="1"/>
    <x v="3"/>
    <x v="2"/>
    <x v="2"/>
    <x v="66"/>
    <x v="1"/>
    <x v="2"/>
    <x v="0"/>
    <n v="20860"/>
  </r>
  <r>
    <m/>
    <x v="1"/>
    <x v="1"/>
    <x v="1"/>
    <x v="3"/>
    <x v="2"/>
    <x v="2"/>
    <x v="67"/>
    <x v="1"/>
    <x v="2"/>
    <x v="0"/>
    <n v="20860"/>
  </r>
  <r>
    <m/>
    <x v="1"/>
    <x v="1"/>
    <x v="1"/>
    <x v="3"/>
    <x v="2"/>
    <x v="2"/>
    <x v="68"/>
    <x v="1"/>
    <x v="2"/>
    <x v="0"/>
    <n v="20860"/>
  </r>
  <r>
    <m/>
    <x v="1"/>
    <x v="1"/>
    <x v="1"/>
    <x v="3"/>
    <x v="3"/>
    <x v="2"/>
    <x v="63"/>
    <x v="1"/>
    <x v="1"/>
    <x v="0"/>
    <n v="23140"/>
  </r>
  <r>
    <m/>
    <x v="1"/>
    <x v="1"/>
    <x v="1"/>
    <x v="3"/>
    <x v="3"/>
    <x v="2"/>
    <x v="64"/>
    <x v="1"/>
    <x v="1"/>
    <x v="0"/>
    <n v="23140"/>
  </r>
  <r>
    <m/>
    <x v="1"/>
    <x v="1"/>
    <x v="1"/>
    <x v="3"/>
    <x v="3"/>
    <x v="2"/>
    <x v="65"/>
    <x v="1"/>
    <x v="1"/>
    <x v="0"/>
    <n v="23140"/>
  </r>
  <r>
    <m/>
    <x v="1"/>
    <x v="1"/>
    <x v="1"/>
    <x v="3"/>
    <x v="3"/>
    <x v="2"/>
    <x v="66"/>
    <x v="1"/>
    <x v="1"/>
    <x v="0"/>
    <n v="23140"/>
  </r>
  <r>
    <m/>
    <x v="1"/>
    <x v="1"/>
    <x v="1"/>
    <x v="3"/>
    <x v="3"/>
    <x v="2"/>
    <x v="67"/>
    <x v="1"/>
    <x v="1"/>
    <x v="0"/>
    <n v="23140"/>
  </r>
  <r>
    <m/>
    <x v="1"/>
    <x v="1"/>
    <x v="1"/>
    <x v="3"/>
    <x v="3"/>
    <x v="2"/>
    <x v="68"/>
    <x v="1"/>
    <x v="1"/>
    <x v="0"/>
    <n v="23140"/>
  </r>
  <r>
    <m/>
    <x v="1"/>
    <x v="1"/>
    <x v="1"/>
    <x v="3"/>
    <x v="3"/>
    <x v="2"/>
    <x v="69"/>
    <x v="1"/>
    <x v="1"/>
    <x v="0"/>
    <n v="23140"/>
  </r>
  <r>
    <m/>
    <x v="1"/>
    <x v="1"/>
    <x v="1"/>
    <x v="3"/>
    <x v="3"/>
    <x v="2"/>
    <x v="70"/>
    <x v="1"/>
    <x v="1"/>
    <x v="0"/>
    <n v="23140"/>
  </r>
  <r>
    <m/>
    <x v="1"/>
    <x v="1"/>
    <x v="1"/>
    <x v="3"/>
    <x v="3"/>
    <x v="2"/>
    <x v="71"/>
    <x v="1"/>
    <x v="1"/>
    <x v="0"/>
    <n v="23140"/>
  </r>
  <r>
    <m/>
    <x v="1"/>
    <x v="1"/>
    <x v="1"/>
    <x v="3"/>
    <x v="3"/>
    <x v="2"/>
    <x v="72"/>
    <x v="1"/>
    <x v="1"/>
    <x v="0"/>
    <n v="23140"/>
  </r>
  <r>
    <m/>
    <x v="1"/>
    <x v="1"/>
    <x v="1"/>
    <x v="3"/>
    <x v="3"/>
    <x v="2"/>
    <x v="73"/>
    <x v="1"/>
    <x v="1"/>
    <x v="0"/>
    <n v="23140"/>
  </r>
  <r>
    <m/>
    <x v="1"/>
    <x v="1"/>
    <x v="1"/>
    <x v="3"/>
    <x v="3"/>
    <x v="2"/>
    <x v="74"/>
    <x v="1"/>
    <x v="1"/>
    <x v="0"/>
    <n v="23140"/>
  </r>
  <r>
    <m/>
    <x v="1"/>
    <x v="1"/>
    <x v="1"/>
    <x v="3"/>
    <x v="3"/>
    <x v="2"/>
    <x v="75"/>
    <x v="1"/>
    <x v="1"/>
    <x v="0"/>
    <n v="23140"/>
  </r>
  <r>
    <m/>
    <x v="1"/>
    <x v="1"/>
    <x v="1"/>
    <x v="3"/>
    <x v="3"/>
    <x v="2"/>
    <x v="76"/>
    <x v="1"/>
    <x v="1"/>
    <x v="0"/>
    <n v="23140"/>
  </r>
  <r>
    <m/>
    <x v="1"/>
    <x v="1"/>
    <x v="1"/>
    <x v="3"/>
    <x v="3"/>
    <x v="2"/>
    <x v="77"/>
    <x v="1"/>
    <x v="1"/>
    <x v="0"/>
    <n v="23140"/>
  </r>
  <r>
    <m/>
    <x v="1"/>
    <x v="1"/>
    <x v="1"/>
    <x v="3"/>
    <x v="3"/>
    <x v="2"/>
    <x v="78"/>
    <x v="1"/>
    <x v="1"/>
    <x v="0"/>
    <n v="23140"/>
  </r>
  <r>
    <m/>
    <x v="1"/>
    <x v="1"/>
    <x v="1"/>
    <x v="3"/>
    <x v="3"/>
    <x v="2"/>
    <x v="79"/>
    <x v="1"/>
    <x v="1"/>
    <x v="0"/>
    <n v="23140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">
  <r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0"/>
    <x v="0"/>
    <x v="0"/>
    <x v="0"/>
    <x v="0"/>
    <x v="0"/>
    <x v="0"/>
    <x v="0"/>
    <x v="0"/>
    <x v="0"/>
    <x v="0"/>
  </r>
  <r>
    <x v="2"/>
    <x v="0"/>
    <x v="2"/>
    <x v="0"/>
    <x v="2"/>
    <x v="0"/>
    <x v="0"/>
    <x v="0"/>
    <x v="0"/>
    <x v="0"/>
    <x v="0"/>
    <x v="0"/>
    <x v="0"/>
    <x v="0"/>
    <x v="0"/>
    <x v="0"/>
  </r>
  <r>
    <x v="3"/>
    <x v="0"/>
    <x v="3"/>
    <x v="0"/>
    <x v="3"/>
    <x v="0"/>
    <x v="0"/>
    <x v="0"/>
    <x v="0"/>
    <x v="0"/>
    <x v="0"/>
    <x v="0"/>
    <x v="0"/>
    <x v="0"/>
    <x v="0"/>
    <x v="0"/>
  </r>
  <r>
    <x v="4"/>
    <x v="1"/>
    <x v="0"/>
    <x v="1"/>
    <x v="0"/>
    <x v="0"/>
    <x v="1"/>
    <x v="0"/>
    <x v="0"/>
    <x v="0"/>
    <x v="0"/>
    <x v="0"/>
    <x v="0"/>
    <x v="0"/>
    <x v="0"/>
    <x v="1"/>
  </r>
  <r>
    <x v="5"/>
    <x v="1"/>
    <x v="1"/>
    <x v="1"/>
    <x v="1"/>
    <x v="0"/>
    <x v="1"/>
    <x v="0"/>
    <x v="0"/>
    <x v="0"/>
    <x v="0"/>
    <x v="0"/>
    <x v="0"/>
    <x v="0"/>
    <x v="0"/>
    <x v="1"/>
  </r>
  <r>
    <x v="6"/>
    <x v="1"/>
    <x v="2"/>
    <x v="1"/>
    <x v="2"/>
    <x v="0"/>
    <x v="1"/>
    <x v="0"/>
    <x v="0"/>
    <x v="0"/>
    <x v="0"/>
    <x v="0"/>
    <x v="0"/>
    <x v="0"/>
    <x v="0"/>
    <x v="1"/>
  </r>
  <r>
    <x v="7"/>
    <x v="1"/>
    <x v="3"/>
    <x v="1"/>
    <x v="3"/>
    <x v="0"/>
    <x v="1"/>
    <x v="0"/>
    <x v="0"/>
    <x v="0"/>
    <x v="0"/>
    <x v="0"/>
    <x v="0"/>
    <x v="0"/>
    <x v="0"/>
    <x v="1"/>
  </r>
  <r>
    <x v="8"/>
    <x v="2"/>
    <x v="0"/>
    <x v="2"/>
    <x v="4"/>
    <x v="1"/>
    <x v="2"/>
    <x v="1"/>
    <x v="1"/>
    <x v="0"/>
    <x v="1"/>
    <x v="1"/>
    <x v="0"/>
    <x v="0"/>
    <x v="0"/>
    <x v="2"/>
  </r>
  <r>
    <x v="9"/>
    <x v="3"/>
    <x v="0"/>
    <x v="3"/>
    <x v="4"/>
    <x v="1"/>
    <x v="2"/>
    <x v="1"/>
    <x v="1"/>
    <x v="0"/>
    <x v="1"/>
    <x v="1"/>
    <x v="0"/>
    <x v="0"/>
    <x v="0"/>
    <x v="3"/>
  </r>
  <r>
    <x v="10"/>
    <x v="4"/>
    <x v="0"/>
    <x v="4"/>
    <x v="4"/>
    <x v="1"/>
    <x v="2"/>
    <x v="1"/>
    <x v="1"/>
    <x v="0"/>
    <x v="1"/>
    <x v="1"/>
    <x v="0"/>
    <x v="0"/>
    <x v="0"/>
    <x v="4"/>
  </r>
  <r>
    <x v="11"/>
    <x v="5"/>
    <x v="0"/>
    <x v="5"/>
    <x v="4"/>
    <x v="1"/>
    <x v="2"/>
    <x v="1"/>
    <x v="1"/>
    <x v="0"/>
    <x v="1"/>
    <x v="1"/>
    <x v="0"/>
    <x v="0"/>
    <x v="0"/>
    <x v="5"/>
  </r>
  <r>
    <x v="12"/>
    <x v="6"/>
    <x v="0"/>
    <x v="6"/>
    <x v="4"/>
    <x v="1"/>
    <x v="2"/>
    <x v="1"/>
    <x v="1"/>
    <x v="0"/>
    <x v="1"/>
    <x v="1"/>
    <x v="0"/>
    <x v="0"/>
    <x v="0"/>
    <x v="6"/>
  </r>
  <r>
    <x v="13"/>
    <x v="7"/>
    <x v="0"/>
    <x v="7"/>
    <x v="4"/>
    <x v="1"/>
    <x v="2"/>
    <x v="1"/>
    <x v="1"/>
    <x v="0"/>
    <x v="1"/>
    <x v="1"/>
    <x v="0"/>
    <x v="0"/>
    <x v="0"/>
    <x v="7"/>
  </r>
  <r>
    <x v="14"/>
    <x v="8"/>
    <x v="0"/>
    <x v="8"/>
    <x v="4"/>
    <x v="1"/>
    <x v="3"/>
    <x v="2"/>
    <x v="2"/>
    <x v="1"/>
    <x v="1"/>
    <x v="1"/>
    <x v="0"/>
    <x v="0"/>
    <x v="0"/>
    <x v="8"/>
  </r>
  <r>
    <x v="15"/>
    <x v="9"/>
    <x v="0"/>
    <x v="9"/>
    <x v="4"/>
    <x v="1"/>
    <x v="2"/>
    <x v="1"/>
    <x v="1"/>
    <x v="0"/>
    <x v="1"/>
    <x v="1"/>
    <x v="0"/>
    <x v="0"/>
    <x v="0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">
  <r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1"/>
    <x v="0"/>
    <x v="0"/>
    <x v="1"/>
  </r>
  <r>
    <x v="1"/>
    <x v="0"/>
    <x v="0"/>
    <x v="1"/>
    <x v="1"/>
    <x v="0"/>
    <x v="1"/>
    <x v="0"/>
    <x v="1"/>
    <x v="0"/>
    <x v="0"/>
    <x v="2"/>
  </r>
  <r>
    <x v="2"/>
    <x v="0"/>
    <x v="1"/>
    <x v="0"/>
    <x v="2"/>
    <x v="0"/>
    <x v="1"/>
    <x v="1"/>
    <x v="0"/>
    <x v="0"/>
    <x v="0"/>
    <x v="3"/>
  </r>
  <r>
    <x v="3"/>
    <x v="0"/>
    <x v="1"/>
    <x v="0"/>
    <x v="1"/>
    <x v="0"/>
    <x v="1"/>
    <x v="1"/>
    <x v="0"/>
    <x v="0"/>
    <x v="0"/>
    <x v="4"/>
  </r>
  <r>
    <x v="4"/>
    <x v="0"/>
    <x v="0"/>
    <x v="0"/>
    <x v="2"/>
    <x v="0"/>
    <x v="0"/>
    <x v="2"/>
    <x v="0"/>
    <x v="0"/>
    <x v="0"/>
    <x v="5"/>
  </r>
  <r>
    <x v="5"/>
    <x v="0"/>
    <x v="0"/>
    <x v="0"/>
    <x v="2"/>
    <x v="0"/>
    <x v="0"/>
    <x v="3"/>
    <x v="0"/>
    <x v="0"/>
    <x v="0"/>
    <x v="5"/>
  </r>
  <r>
    <x v="6"/>
    <x v="0"/>
    <x v="0"/>
    <x v="0"/>
    <x v="1"/>
    <x v="0"/>
    <x v="0"/>
    <x v="3"/>
    <x v="0"/>
    <x v="0"/>
    <x v="0"/>
    <x v="6"/>
  </r>
  <r>
    <x v="7"/>
    <x v="0"/>
    <x v="0"/>
    <x v="1"/>
    <x v="2"/>
    <x v="0"/>
    <x v="0"/>
    <x v="3"/>
    <x v="1"/>
    <x v="0"/>
    <x v="0"/>
    <x v="7"/>
  </r>
  <r>
    <x v="8"/>
    <x v="0"/>
    <x v="0"/>
    <x v="1"/>
    <x v="1"/>
    <x v="0"/>
    <x v="0"/>
    <x v="3"/>
    <x v="1"/>
    <x v="0"/>
    <x v="0"/>
    <x v="8"/>
  </r>
  <r>
    <x v="9"/>
    <x v="0"/>
    <x v="0"/>
    <x v="0"/>
    <x v="2"/>
    <x v="0"/>
    <x v="1"/>
    <x v="0"/>
    <x v="0"/>
    <x v="0"/>
    <x v="0"/>
    <x v="9"/>
  </r>
  <r>
    <x v="10"/>
    <x v="0"/>
    <x v="0"/>
    <x v="1"/>
    <x v="2"/>
    <x v="0"/>
    <x v="1"/>
    <x v="0"/>
    <x v="1"/>
    <x v="0"/>
    <x v="0"/>
    <x v="10"/>
  </r>
  <r>
    <x v="11"/>
    <x v="0"/>
    <x v="1"/>
    <x v="1"/>
    <x v="2"/>
    <x v="0"/>
    <x v="1"/>
    <x v="1"/>
    <x v="1"/>
    <x v="0"/>
    <x v="0"/>
    <x v="11"/>
  </r>
  <r>
    <x v="12"/>
    <x v="0"/>
    <x v="1"/>
    <x v="1"/>
    <x v="1"/>
    <x v="0"/>
    <x v="1"/>
    <x v="1"/>
    <x v="1"/>
    <x v="0"/>
    <x v="0"/>
    <x v="12"/>
  </r>
  <r>
    <x v="13"/>
    <x v="0"/>
    <x v="1"/>
    <x v="1"/>
    <x v="1"/>
    <x v="0"/>
    <x v="1"/>
    <x v="4"/>
    <x v="1"/>
    <x v="0"/>
    <x v="0"/>
    <x v="12"/>
  </r>
  <r>
    <x v="14"/>
    <x v="0"/>
    <x v="1"/>
    <x v="0"/>
    <x v="1"/>
    <x v="0"/>
    <x v="0"/>
    <x v="5"/>
    <x v="0"/>
    <x v="0"/>
    <x v="0"/>
    <x v="13"/>
  </r>
  <r>
    <x v="15"/>
    <x v="0"/>
    <x v="0"/>
    <x v="0"/>
    <x v="1"/>
    <x v="0"/>
    <x v="0"/>
    <x v="2"/>
    <x v="0"/>
    <x v="0"/>
    <x v="0"/>
    <x v="6"/>
  </r>
  <r>
    <x v="16"/>
    <x v="0"/>
    <x v="0"/>
    <x v="1"/>
    <x v="2"/>
    <x v="0"/>
    <x v="0"/>
    <x v="2"/>
    <x v="1"/>
    <x v="0"/>
    <x v="0"/>
    <x v="7"/>
  </r>
  <r>
    <x v="17"/>
    <x v="0"/>
    <x v="1"/>
    <x v="1"/>
    <x v="1"/>
    <x v="0"/>
    <x v="1"/>
    <x v="6"/>
    <x v="1"/>
    <x v="0"/>
    <x v="0"/>
    <x v="14"/>
  </r>
  <r>
    <x v="18"/>
    <x v="0"/>
    <x v="1"/>
    <x v="1"/>
    <x v="1"/>
    <x v="0"/>
    <x v="0"/>
    <x v="5"/>
    <x v="1"/>
    <x v="0"/>
    <x v="0"/>
    <x v="15"/>
  </r>
  <r>
    <x v="19"/>
    <x v="0"/>
    <x v="1"/>
    <x v="1"/>
    <x v="1"/>
    <x v="0"/>
    <x v="0"/>
    <x v="7"/>
    <x v="1"/>
    <x v="0"/>
    <x v="0"/>
    <x v="15"/>
  </r>
  <r>
    <x v="20"/>
    <x v="0"/>
    <x v="0"/>
    <x v="1"/>
    <x v="1"/>
    <x v="0"/>
    <x v="0"/>
    <x v="2"/>
    <x v="1"/>
    <x v="0"/>
    <x v="0"/>
    <x v="8"/>
  </r>
  <r>
    <x v="21"/>
    <x v="0"/>
    <x v="1"/>
    <x v="0"/>
    <x v="2"/>
    <x v="0"/>
    <x v="1"/>
    <x v="6"/>
    <x v="0"/>
    <x v="0"/>
    <x v="0"/>
    <x v="16"/>
  </r>
  <r>
    <x v="22"/>
    <x v="0"/>
    <x v="1"/>
    <x v="0"/>
    <x v="1"/>
    <x v="0"/>
    <x v="0"/>
    <x v="7"/>
    <x v="0"/>
    <x v="0"/>
    <x v="0"/>
    <x v="13"/>
  </r>
  <r>
    <x v="23"/>
    <x v="0"/>
    <x v="1"/>
    <x v="0"/>
    <x v="2"/>
    <x v="0"/>
    <x v="1"/>
    <x v="4"/>
    <x v="0"/>
    <x v="0"/>
    <x v="0"/>
    <x v="3"/>
  </r>
  <r>
    <x v="24"/>
    <x v="0"/>
    <x v="1"/>
    <x v="0"/>
    <x v="1"/>
    <x v="0"/>
    <x v="1"/>
    <x v="4"/>
    <x v="0"/>
    <x v="0"/>
    <x v="0"/>
    <x v="4"/>
  </r>
  <r>
    <x v="25"/>
    <x v="0"/>
    <x v="1"/>
    <x v="0"/>
    <x v="1"/>
    <x v="0"/>
    <x v="1"/>
    <x v="6"/>
    <x v="0"/>
    <x v="0"/>
    <x v="0"/>
    <x v="17"/>
  </r>
  <r>
    <x v="26"/>
    <x v="0"/>
    <x v="1"/>
    <x v="1"/>
    <x v="2"/>
    <x v="0"/>
    <x v="1"/>
    <x v="6"/>
    <x v="1"/>
    <x v="0"/>
    <x v="0"/>
    <x v="18"/>
  </r>
  <r>
    <x v="27"/>
    <x v="0"/>
    <x v="0"/>
    <x v="0"/>
    <x v="1"/>
    <x v="0"/>
    <x v="1"/>
    <x v="0"/>
    <x v="0"/>
    <x v="0"/>
    <x v="0"/>
    <x v="19"/>
  </r>
  <r>
    <x v="28"/>
    <x v="0"/>
    <x v="1"/>
    <x v="1"/>
    <x v="2"/>
    <x v="0"/>
    <x v="1"/>
    <x v="4"/>
    <x v="1"/>
    <x v="0"/>
    <x v="0"/>
    <x v="11"/>
  </r>
  <r>
    <x v="0"/>
    <x v="0"/>
    <x v="2"/>
    <x v="0"/>
    <x v="2"/>
    <x v="0"/>
    <x v="0"/>
    <x v="8"/>
    <x v="0"/>
    <x v="0"/>
    <x v="0"/>
    <x v="3"/>
  </r>
  <r>
    <x v="0"/>
    <x v="0"/>
    <x v="2"/>
    <x v="0"/>
    <x v="2"/>
    <x v="0"/>
    <x v="0"/>
    <x v="9"/>
    <x v="0"/>
    <x v="0"/>
    <x v="0"/>
    <x v="3"/>
  </r>
  <r>
    <x v="0"/>
    <x v="0"/>
    <x v="2"/>
    <x v="0"/>
    <x v="0"/>
    <x v="0"/>
    <x v="0"/>
    <x v="10"/>
    <x v="0"/>
    <x v="1"/>
    <x v="0"/>
    <x v="20"/>
  </r>
  <r>
    <x v="0"/>
    <x v="0"/>
    <x v="2"/>
    <x v="1"/>
    <x v="2"/>
    <x v="0"/>
    <x v="0"/>
    <x v="8"/>
    <x v="1"/>
    <x v="0"/>
    <x v="0"/>
    <x v="11"/>
  </r>
  <r>
    <x v="0"/>
    <x v="0"/>
    <x v="2"/>
    <x v="1"/>
    <x v="2"/>
    <x v="0"/>
    <x v="0"/>
    <x v="9"/>
    <x v="1"/>
    <x v="0"/>
    <x v="0"/>
    <x v="11"/>
  </r>
  <r>
    <x v="0"/>
    <x v="0"/>
    <x v="2"/>
    <x v="1"/>
    <x v="0"/>
    <x v="0"/>
    <x v="0"/>
    <x v="10"/>
    <x v="1"/>
    <x v="1"/>
    <x v="0"/>
    <x v="2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">
  <r>
    <x v="0"/>
    <x v="0"/>
    <x v="0"/>
    <x v="0"/>
    <x v="0"/>
    <x v="0"/>
    <x v="0"/>
    <x v="0"/>
    <n v="3150"/>
  </r>
  <r>
    <x v="1"/>
    <x v="0"/>
    <x v="0"/>
    <x v="0"/>
    <x v="0"/>
    <x v="0"/>
    <x v="0"/>
    <x v="0"/>
    <n v="5990"/>
  </r>
  <r>
    <x v="2"/>
    <x v="0"/>
    <x v="0"/>
    <x v="0"/>
    <x v="0"/>
    <x v="0"/>
    <x v="0"/>
    <x v="0"/>
    <n v="3050"/>
  </r>
  <r>
    <x v="3"/>
    <x v="0"/>
    <x v="0"/>
    <x v="0"/>
    <x v="0"/>
    <x v="0"/>
    <x v="0"/>
    <x v="0"/>
    <n v="3330"/>
  </r>
  <r>
    <x v="4"/>
    <x v="0"/>
    <x v="0"/>
    <x v="0"/>
    <x v="0"/>
    <x v="0"/>
    <x v="0"/>
    <x v="0"/>
    <n v="3520"/>
  </r>
  <r>
    <x v="5"/>
    <x v="0"/>
    <x v="0"/>
    <x v="0"/>
    <x v="0"/>
    <x v="0"/>
    <x v="0"/>
    <x v="0"/>
    <n v="7660"/>
  </r>
  <r>
    <x v="6"/>
    <x v="0"/>
    <x v="0"/>
    <x v="1"/>
    <x v="1"/>
    <x v="1"/>
    <x v="0"/>
    <x v="0"/>
    <n v="870"/>
  </r>
  <r>
    <x v="7"/>
    <x v="0"/>
    <x v="0"/>
    <x v="0"/>
    <x v="0"/>
    <x v="0"/>
    <x v="0"/>
    <x v="0"/>
    <n v="3050"/>
  </r>
  <r>
    <x v="8"/>
    <x v="1"/>
    <x v="1"/>
    <x v="2"/>
    <x v="2"/>
    <x v="2"/>
    <x v="1"/>
    <x v="0"/>
    <n v="1530"/>
  </r>
  <r>
    <x v="8"/>
    <x v="2"/>
    <x v="1"/>
    <x v="2"/>
    <x v="2"/>
    <x v="2"/>
    <x v="1"/>
    <x v="0"/>
    <n v="1720"/>
  </r>
  <r>
    <x v="9"/>
    <x v="1"/>
    <x v="1"/>
    <x v="3"/>
    <x v="2"/>
    <x v="2"/>
    <x v="1"/>
    <x v="0"/>
    <n v="1200"/>
  </r>
  <r>
    <x v="9"/>
    <x v="2"/>
    <x v="1"/>
    <x v="3"/>
    <x v="2"/>
    <x v="2"/>
    <x v="1"/>
    <x v="0"/>
    <n v="1370"/>
  </r>
  <r>
    <x v="10"/>
    <x v="1"/>
    <x v="1"/>
    <x v="4"/>
    <x v="3"/>
    <x v="2"/>
    <x v="1"/>
    <x v="0"/>
    <n v="1880"/>
  </r>
  <r>
    <x v="10"/>
    <x v="2"/>
    <x v="1"/>
    <x v="4"/>
    <x v="3"/>
    <x v="2"/>
    <x v="1"/>
    <x v="0"/>
    <n v="2050"/>
  </r>
  <r>
    <x v="11"/>
    <x v="1"/>
    <x v="2"/>
    <x v="2"/>
    <x v="4"/>
    <x v="0"/>
    <x v="1"/>
    <x v="0"/>
    <n v="1720"/>
  </r>
  <r>
    <x v="11"/>
    <x v="2"/>
    <x v="2"/>
    <x v="2"/>
    <x v="4"/>
    <x v="0"/>
    <x v="1"/>
    <x v="0"/>
    <n v="1920"/>
  </r>
  <r>
    <x v="12"/>
    <x v="1"/>
    <x v="2"/>
    <x v="5"/>
    <x v="4"/>
    <x v="0"/>
    <x v="1"/>
    <x v="0"/>
    <n v="1720"/>
  </r>
  <r>
    <x v="12"/>
    <x v="2"/>
    <x v="2"/>
    <x v="5"/>
    <x v="4"/>
    <x v="0"/>
    <x v="1"/>
    <x v="0"/>
    <n v="1920"/>
  </r>
  <r>
    <x v="13"/>
    <x v="1"/>
    <x v="2"/>
    <x v="4"/>
    <x v="4"/>
    <x v="0"/>
    <x v="1"/>
    <x v="0"/>
    <n v="1720"/>
  </r>
  <r>
    <x v="13"/>
    <x v="2"/>
    <x v="2"/>
    <x v="4"/>
    <x v="4"/>
    <x v="0"/>
    <x v="1"/>
    <x v="0"/>
    <n v="1920"/>
  </r>
  <r>
    <x v="14"/>
    <x v="1"/>
    <x v="3"/>
    <x v="3"/>
    <x v="5"/>
    <x v="0"/>
    <x v="2"/>
    <x v="0"/>
    <n v="2820"/>
  </r>
  <r>
    <x v="14"/>
    <x v="2"/>
    <x v="3"/>
    <x v="3"/>
    <x v="5"/>
    <x v="0"/>
    <x v="2"/>
    <x v="0"/>
    <n v="3160"/>
  </r>
  <r>
    <x v="15"/>
    <x v="1"/>
    <x v="2"/>
    <x v="2"/>
    <x v="6"/>
    <x v="0"/>
    <x v="2"/>
    <x v="0"/>
    <n v="5240"/>
  </r>
  <r>
    <x v="16"/>
    <x v="2"/>
    <x v="4"/>
    <x v="6"/>
    <x v="5"/>
    <x v="3"/>
    <x v="2"/>
    <x v="0"/>
    <n v="3110"/>
  </r>
  <r>
    <x v="16"/>
    <x v="1"/>
    <x v="4"/>
    <x v="6"/>
    <x v="5"/>
    <x v="3"/>
    <x v="2"/>
    <x v="0"/>
    <n v="2780"/>
  </r>
  <r>
    <x v="17"/>
    <x v="2"/>
    <x v="4"/>
    <x v="6"/>
    <x v="7"/>
    <x v="3"/>
    <x v="2"/>
    <x v="0"/>
    <n v="3840"/>
  </r>
  <r>
    <x v="17"/>
    <x v="1"/>
    <x v="4"/>
    <x v="6"/>
    <x v="7"/>
    <x v="3"/>
    <x v="2"/>
    <x v="0"/>
    <n v="3430"/>
  </r>
  <r>
    <x v="18"/>
    <x v="2"/>
    <x v="4"/>
    <x v="3"/>
    <x v="5"/>
    <x v="3"/>
    <x v="2"/>
    <x v="0"/>
    <n v="3110"/>
  </r>
  <r>
    <x v="18"/>
    <x v="1"/>
    <x v="4"/>
    <x v="3"/>
    <x v="5"/>
    <x v="3"/>
    <x v="2"/>
    <x v="0"/>
    <n v="2780"/>
  </r>
  <r>
    <x v="19"/>
    <x v="1"/>
    <x v="4"/>
    <x v="3"/>
    <x v="7"/>
    <x v="3"/>
    <x v="2"/>
    <x v="0"/>
    <n v="3430"/>
  </r>
  <r>
    <x v="19"/>
    <x v="2"/>
    <x v="4"/>
    <x v="3"/>
    <x v="7"/>
    <x v="3"/>
    <x v="2"/>
    <x v="0"/>
    <n v="3840"/>
  </r>
  <r>
    <x v="20"/>
    <x v="2"/>
    <x v="4"/>
    <x v="7"/>
    <x v="5"/>
    <x v="3"/>
    <x v="2"/>
    <x v="0"/>
    <n v="3110"/>
  </r>
  <r>
    <x v="20"/>
    <x v="1"/>
    <x v="4"/>
    <x v="7"/>
    <x v="5"/>
    <x v="3"/>
    <x v="2"/>
    <x v="0"/>
    <n v="2780"/>
  </r>
  <r>
    <x v="21"/>
    <x v="2"/>
    <x v="5"/>
    <x v="7"/>
    <x v="7"/>
    <x v="3"/>
    <x v="2"/>
    <x v="0"/>
    <n v="2920"/>
  </r>
  <r>
    <x v="21"/>
    <x v="1"/>
    <x v="5"/>
    <x v="7"/>
    <x v="7"/>
    <x v="3"/>
    <x v="2"/>
    <x v="0"/>
    <n v="2600"/>
  </r>
  <r>
    <x v="22"/>
    <x v="2"/>
    <x v="4"/>
    <x v="2"/>
    <x v="5"/>
    <x v="3"/>
    <x v="2"/>
    <x v="0"/>
    <n v="3110"/>
  </r>
  <r>
    <x v="22"/>
    <x v="1"/>
    <x v="4"/>
    <x v="2"/>
    <x v="5"/>
    <x v="3"/>
    <x v="2"/>
    <x v="0"/>
    <n v="2780"/>
  </r>
  <r>
    <x v="23"/>
    <x v="2"/>
    <x v="4"/>
    <x v="2"/>
    <x v="7"/>
    <x v="3"/>
    <x v="2"/>
    <x v="0"/>
    <n v="3840"/>
  </r>
  <r>
    <x v="23"/>
    <x v="1"/>
    <x v="4"/>
    <x v="2"/>
    <x v="7"/>
    <x v="3"/>
    <x v="2"/>
    <x v="0"/>
    <n v="3430"/>
  </r>
  <r>
    <x v="24"/>
    <x v="1"/>
    <x v="2"/>
    <x v="5"/>
    <x v="6"/>
    <x v="0"/>
    <x v="2"/>
    <x v="0"/>
    <n v="5240"/>
  </r>
  <r>
    <x v="24"/>
    <x v="2"/>
    <x v="2"/>
    <x v="5"/>
    <x v="6"/>
    <x v="0"/>
    <x v="2"/>
    <x v="0"/>
    <n v="5880"/>
  </r>
  <r>
    <x v="25"/>
    <x v="1"/>
    <x v="2"/>
    <x v="4"/>
    <x v="6"/>
    <x v="0"/>
    <x v="2"/>
    <x v="0"/>
    <n v="5240"/>
  </r>
  <r>
    <x v="25"/>
    <x v="2"/>
    <x v="2"/>
    <x v="4"/>
    <x v="6"/>
    <x v="0"/>
    <x v="2"/>
    <x v="0"/>
    <n v="5880"/>
  </r>
  <r>
    <x v="26"/>
    <x v="1"/>
    <x v="3"/>
    <x v="7"/>
    <x v="5"/>
    <x v="0"/>
    <x v="2"/>
    <x v="0"/>
    <n v="2820"/>
  </r>
  <r>
    <x v="26"/>
    <x v="2"/>
    <x v="3"/>
    <x v="7"/>
    <x v="5"/>
    <x v="0"/>
    <x v="2"/>
    <x v="0"/>
    <n v="3160"/>
  </r>
  <r>
    <x v="27"/>
    <x v="1"/>
    <x v="3"/>
    <x v="2"/>
    <x v="5"/>
    <x v="0"/>
    <x v="2"/>
    <x v="0"/>
    <n v="2820"/>
  </r>
  <r>
    <x v="27"/>
    <x v="2"/>
    <x v="3"/>
    <x v="2"/>
    <x v="5"/>
    <x v="0"/>
    <x v="2"/>
    <x v="0"/>
    <n v="3160"/>
  </r>
  <r>
    <x v="28"/>
    <x v="1"/>
    <x v="3"/>
    <x v="6"/>
    <x v="5"/>
    <x v="0"/>
    <x v="2"/>
    <x v="0"/>
    <n v="2820"/>
  </r>
  <r>
    <x v="29"/>
    <x v="1"/>
    <x v="4"/>
    <x v="4"/>
    <x v="7"/>
    <x v="3"/>
    <x v="2"/>
    <x v="0"/>
    <n v="3430"/>
  </r>
  <r>
    <x v="29"/>
    <x v="2"/>
    <x v="4"/>
    <x v="4"/>
    <x v="7"/>
    <x v="3"/>
    <x v="2"/>
    <x v="0"/>
    <n v="3840"/>
  </r>
  <r>
    <x v="15"/>
    <x v="2"/>
    <x v="2"/>
    <x v="2"/>
    <x v="6"/>
    <x v="0"/>
    <x v="2"/>
    <x v="0"/>
    <n v="5880"/>
  </r>
  <r>
    <x v="30"/>
    <x v="3"/>
    <x v="3"/>
    <x v="8"/>
    <x v="1"/>
    <x v="1"/>
    <x v="3"/>
    <x v="0"/>
    <n v="1170"/>
  </r>
  <r>
    <x v="31"/>
    <x v="3"/>
    <x v="3"/>
    <x v="9"/>
    <x v="1"/>
    <x v="1"/>
    <x v="3"/>
    <x v="0"/>
    <n v="1370"/>
  </r>
  <r>
    <x v="32"/>
    <x v="3"/>
    <x v="3"/>
    <x v="10"/>
    <x v="1"/>
    <x v="1"/>
    <x v="3"/>
    <x v="0"/>
    <n v="1500"/>
  </r>
  <r>
    <x v="33"/>
    <x v="3"/>
    <x v="3"/>
    <x v="11"/>
    <x v="1"/>
    <x v="1"/>
    <x v="3"/>
    <x v="0"/>
    <n v="1240"/>
  </r>
  <r>
    <x v="34"/>
    <x v="3"/>
    <x v="3"/>
    <x v="12"/>
    <x v="1"/>
    <x v="1"/>
    <x v="3"/>
    <x v="0"/>
    <n v="1700"/>
  </r>
  <r>
    <x v="35"/>
    <x v="3"/>
    <x v="3"/>
    <x v="13"/>
    <x v="1"/>
    <x v="1"/>
    <x v="3"/>
    <x v="0"/>
    <n v="1840"/>
  </r>
  <r>
    <x v="36"/>
    <x v="4"/>
    <x v="1"/>
    <x v="8"/>
    <x v="1"/>
    <x v="1"/>
    <x v="4"/>
    <x v="0"/>
    <n v="6630"/>
  </r>
  <r>
    <x v="37"/>
    <x v="4"/>
    <x v="1"/>
    <x v="8"/>
    <x v="1"/>
    <x v="1"/>
    <x v="4"/>
    <x v="0"/>
    <n v="6630"/>
  </r>
  <r>
    <x v="38"/>
    <x v="4"/>
    <x v="1"/>
    <x v="8"/>
    <x v="1"/>
    <x v="1"/>
    <x v="4"/>
    <x v="0"/>
    <n v="3230"/>
  </r>
  <r>
    <x v="39"/>
    <x v="4"/>
    <x v="1"/>
    <x v="1"/>
    <x v="8"/>
    <x v="1"/>
    <x v="4"/>
    <x v="0"/>
    <n v="590"/>
  </r>
  <r>
    <x v="40"/>
    <x v="0"/>
    <x v="1"/>
    <x v="2"/>
    <x v="8"/>
    <x v="1"/>
    <x v="4"/>
    <x v="0"/>
    <n v="3230"/>
  </r>
  <r>
    <x v="41"/>
    <x v="0"/>
    <x v="1"/>
    <x v="2"/>
    <x v="8"/>
    <x v="1"/>
    <x v="4"/>
    <x v="0"/>
    <n v="690"/>
  </r>
  <r>
    <x v="42"/>
    <x v="4"/>
    <x v="1"/>
    <x v="4"/>
    <x v="1"/>
    <x v="1"/>
    <x v="4"/>
    <x v="0"/>
    <n v="6630"/>
  </r>
  <r>
    <x v="43"/>
    <x v="4"/>
    <x v="1"/>
    <x v="4"/>
    <x v="1"/>
    <x v="1"/>
    <x v="4"/>
    <x v="0"/>
    <n v="6630"/>
  </r>
  <r>
    <x v="44"/>
    <x v="4"/>
    <x v="1"/>
    <x v="3"/>
    <x v="1"/>
    <x v="1"/>
    <x v="4"/>
    <x v="0"/>
    <n v="6630"/>
  </r>
  <r>
    <x v="45"/>
    <x v="4"/>
    <x v="1"/>
    <x v="3"/>
    <x v="1"/>
    <x v="1"/>
    <x v="4"/>
    <x v="0"/>
    <n v="6630"/>
  </r>
  <r>
    <x v="46"/>
    <x v="4"/>
    <x v="1"/>
    <x v="4"/>
    <x v="1"/>
    <x v="1"/>
    <x v="4"/>
    <x v="0"/>
    <n v="3230"/>
  </r>
  <r>
    <x v="47"/>
    <x v="4"/>
    <x v="1"/>
    <x v="3"/>
    <x v="1"/>
    <x v="1"/>
    <x v="4"/>
    <x v="0"/>
    <n v="3230"/>
  </r>
  <r>
    <x v="48"/>
    <x v="4"/>
    <x v="1"/>
    <x v="14"/>
    <x v="1"/>
    <x v="1"/>
    <x v="4"/>
    <x v="0"/>
    <n v="690"/>
  </r>
  <r>
    <x v="49"/>
    <x v="4"/>
    <x v="1"/>
    <x v="3"/>
    <x v="1"/>
    <x v="1"/>
    <x v="4"/>
    <x v="0"/>
    <n v="690"/>
  </r>
  <r>
    <x v="50"/>
    <x v="4"/>
    <x v="1"/>
    <x v="2"/>
    <x v="8"/>
    <x v="1"/>
    <x v="4"/>
    <x v="0"/>
    <n v="6630"/>
  </r>
  <r>
    <x v="51"/>
    <x v="4"/>
    <x v="1"/>
    <x v="2"/>
    <x v="8"/>
    <x v="1"/>
    <x v="4"/>
    <x v="0"/>
    <n v="663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0"/>
    <x v="0"/>
    <x v="0"/>
    <x v="0"/>
    <x v="0"/>
    <x v="0"/>
    <x v="0"/>
    <x v="1"/>
  </r>
  <r>
    <x v="2"/>
    <x v="1"/>
    <x v="0"/>
    <x v="1"/>
    <x v="0"/>
    <x v="0"/>
    <x v="1"/>
    <x v="0"/>
    <x v="1"/>
    <x v="0"/>
    <x v="0"/>
    <x v="0"/>
    <x v="2"/>
  </r>
  <r>
    <x v="3"/>
    <x v="1"/>
    <x v="1"/>
    <x v="1"/>
    <x v="1"/>
    <x v="0"/>
    <x v="1"/>
    <x v="0"/>
    <x v="1"/>
    <x v="0"/>
    <x v="0"/>
    <x v="0"/>
    <x v="3"/>
  </r>
  <r>
    <x v="4"/>
    <x v="2"/>
    <x v="0"/>
    <x v="2"/>
    <x v="0"/>
    <x v="0"/>
    <x v="0"/>
    <x v="0"/>
    <x v="1"/>
    <x v="0"/>
    <x v="0"/>
    <x v="0"/>
    <x v="4"/>
  </r>
  <r>
    <x v="5"/>
    <x v="2"/>
    <x v="1"/>
    <x v="2"/>
    <x v="1"/>
    <x v="0"/>
    <x v="0"/>
    <x v="0"/>
    <x v="1"/>
    <x v="0"/>
    <x v="0"/>
    <x v="0"/>
    <x v="5"/>
  </r>
  <r>
    <x v="6"/>
    <x v="3"/>
    <x v="2"/>
    <x v="3"/>
    <x v="2"/>
    <x v="0"/>
    <x v="1"/>
    <x v="0"/>
    <x v="2"/>
    <x v="0"/>
    <x v="0"/>
    <x v="0"/>
    <x v="6"/>
  </r>
  <r>
    <x v="7"/>
    <x v="1"/>
    <x v="2"/>
    <x v="1"/>
    <x v="2"/>
    <x v="0"/>
    <x v="1"/>
    <x v="0"/>
    <x v="1"/>
    <x v="0"/>
    <x v="0"/>
    <x v="0"/>
    <x v="3"/>
  </r>
  <r>
    <x v="8"/>
    <x v="2"/>
    <x v="2"/>
    <x v="2"/>
    <x v="2"/>
    <x v="0"/>
    <x v="0"/>
    <x v="0"/>
    <x v="1"/>
    <x v="0"/>
    <x v="0"/>
    <x v="0"/>
    <x v="5"/>
  </r>
  <r>
    <x v="9"/>
    <x v="0"/>
    <x v="2"/>
    <x v="0"/>
    <x v="2"/>
    <x v="0"/>
    <x v="0"/>
    <x v="0"/>
    <x v="0"/>
    <x v="0"/>
    <x v="0"/>
    <x v="0"/>
    <x v="1"/>
  </r>
  <r>
    <x v="10"/>
    <x v="3"/>
    <x v="0"/>
    <x v="3"/>
    <x v="0"/>
    <x v="0"/>
    <x v="1"/>
    <x v="0"/>
    <x v="2"/>
    <x v="0"/>
    <x v="0"/>
    <x v="0"/>
    <x v="7"/>
  </r>
  <r>
    <x v="11"/>
    <x v="3"/>
    <x v="1"/>
    <x v="3"/>
    <x v="1"/>
    <x v="0"/>
    <x v="1"/>
    <x v="0"/>
    <x v="2"/>
    <x v="0"/>
    <x v="0"/>
    <x v="0"/>
    <x v="6"/>
  </r>
  <r>
    <x v="12"/>
    <x v="4"/>
    <x v="3"/>
    <x v="4"/>
    <x v="2"/>
    <x v="0"/>
    <x v="2"/>
    <x v="1"/>
    <x v="3"/>
    <x v="1"/>
    <x v="0"/>
    <x v="0"/>
    <x v="8"/>
  </r>
  <r>
    <x v="13"/>
    <x v="4"/>
    <x v="0"/>
    <x v="4"/>
    <x v="0"/>
    <x v="0"/>
    <x v="2"/>
    <x v="1"/>
    <x v="4"/>
    <x v="1"/>
    <x v="0"/>
    <x v="0"/>
    <x v="9"/>
  </r>
  <r>
    <x v="14"/>
    <x v="4"/>
    <x v="4"/>
    <x v="4"/>
    <x v="1"/>
    <x v="0"/>
    <x v="2"/>
    <x v="1"/>
    <x v="4"/>
    <x v="1"/>
    <x v="0"/>
    <x v="0"/>
    <x v="8"/>
  </r>
  <r>
    <x v="15"/>
    <x v="5"/>
    <x v="1"/>
    <x v="5"/>
    <x v="1"/>
    <x v="0"/>
    <x v="3"/>
    <x v="2"/>
    <x v="5"/>
    <x v="2"/>
    <x v="0"/>
    <x v="0"/>
    <x v="10"/>
  </r>
  <r>
    <x v="16"/>
    <x v="5"/>
    <x v="0"/>
    <x v="5"/>
    <x v="0"/>
    <x v="0"/>
    <x v="3"/>
    <x v="2"/>
    <x v="5"/>
    <x v="2"/>
    <x v="0"/>
    <x v="0"/>
    <x v="11"/>
  </r>
  <r>
    <x v="17"/>
    <x v="5"/>
    <x v="3"/>
    <x v="5"/>
    <x v="2"/>
    <x v="0"/>
    <x v="3"/>
    <x v="2"/>
    <x v="5"/>
    <x v="2"/>
    <x v="0"/>
    <x v="0"/>
    <x v="1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">
  <r>
    <n v="8980"/>
    <x v="0"/>
    <x v="0"/>
    <x v="0"/>
    <x v="0"/>
    <x v="0"/>
    <x v="0"/>
    <x v="0"/>
    <x v="0"/>
    <x v="0"/>
    <x v="0"/>
    <x v="0"/>
    <n v="5080"/>
  </r>
  <r>
    <n v="8981"/>
    <x v="1"/>
    <x v="1"/>
    <x v="1"/>
    <x v="0"/>
    <x v="0"/>
    <x v="1"/>
    <x v="0"/>
    <x v="0"/>
    <x v="0"/>
    <x v="0"/>
    <x v="0"/>
    <n v="5430"/>
  </r>
  <r>
    <n v="8982"/>
    <x v="2"/>
    <x v="0"/>
    <x v="2"/>
    <x v="0"/>
    <x v="0"/>
    <x v="2"/>
    <x v="0"/>
    <x v="0"/>
    <x v="0"/>
    <x v="0"/>
    <x v="0"/>
    <n v="5680"/>
  </r>
  <r>
    <n v="8983"/>
    <x v="3"/>
    <x v="2"/>
    <x v="3"/>
    <x v="0"/>
    <x v="0"/>
    <x v="3"/>
    <x v="0"/>
    <x v="0"/>
    <x v="0"/>
    <x v="0"/>
    <x v="0"/>
    <n v="6040"/>
  </r>
  <r>
    <n v="8984"/>
    <x v="4"/>
    <x v="2"/>
    <x v="4"/>
    <x v="0"/>
    <x v="0"/>
    <x v="0"/>
    <x v="0"/>
    <x v="1"/>
    <x v="0"/>
    <x v="0"/>
    <x v="0"/>
    <n v="5680"/>
  </r>
  <r>
    <n v="8985"/>
    <x v="5"/>
    <x v="2"/>
    <x v="5"/>
    <x v="0"/>
    <x v="0"/>
    <x v="1"/>
    <x v="0"/>
    <x v="1"/>
    <x v="0"/>
    <x v="0"/>
    <x v="0"/>
    <n v="5800"/>
  </r>
  <r>
    <n v="8986"/>
    <x v="6"/>
    <x v="2"/>
    <x v="6"/>
    <x v="0"/>
    <x v="0"/>
    <x v="2"/>
    <x v="0"/>
    <x v="1"/>
    <x v="0"/>
    <x v="0"/>
    <x v="0"/>
    <n v="6040"/>
  </r>
  <r>
    <n v="8987"/>
    <x v="7"/>
    <x v="2"/>
    <x v="7"/>
    <x v="0"/>
    <x v="0"/>
    <x v="3"/>
    <x v="0"/>
    <x v="1"/>
    <x v="0"/>
    <x v="0"/>
    <x v="0"/>
    <n v="6640"/>
  </r>
  <r>
    <n v="8988"/>
    <x v="8"/>
    <x v="2"/>
    <x v="8"/>
    <x v="0"/>
    <x v="0"/>
    <x v="1"/>
    <x v="0"/>
    <x v="2"/>
    <x v="0"/>
    <x v="0"/>
    <x v="0"/>
    <n v="6040"/>
  </r>
  <r>
    <n v="8989"/>
    <x v="9"/>
    <x v="2"/>
    <x v="9"/>
    <x v="0"/>
    <x v="0"/>
    <x v="2"/>
    <x v="0"/>
    <x v="2"/>
    <x v="0"/>
    <x v="0"/>
    <x v="0"/>
    <n v="6390"/>
  </r>
  <r>
    <n v="8990"/>
    <x v="10"/>
    <x v="2"/>
    <x v="10"/>
    <x v="0"/>
    <x v="0"/>
    <x v="3"/>
    <x v="0"/>
    <x v="2"/>
    <x v="0"/>
    <x v="0"/>
    <x v="0"/>
    <n v="7110"/>
  </r>
  <r>
    <n v="8991"/>
    <x v="0"/>
    <x v="1"/>
    <x v="0"/>
    <x v="1"/>
    <x v="0"/>
    <x v="0"/>
    <x v="0"/>
    <x v="0"/>
    <x v="0"/>
    <x v="0"/>
    <x v="0"/>
    <n v="5080"/>
  </r>
  <r>
    <n v="8992"/>
    <x v="1"/>
    <x v="3"/>
    <x v="1"/>
    <x v="1"/>
    <x v="0"/>
    <x v="1"/>
    <x v="0"/>
    <x v="0"/>
    <x v="0"/>
    <x v="0"/>
    <x v="0"/>
    <n v="5430"/>
  </r>
  <r>
    <n v="8993"/>
    <x v="2"/>
    <x v="2"/>
    <x v="2"/>
    <x v="1"/>
    <x v="0"/>
    <x v="2"/>
    <x v="0"/>
    <x v="0"/>
    <x v="0"/>
    <x v="0"/>
    <x v="0"/>
    <n v="5680"/>
  </r>
  <r>
    <n v="8994"/>
    <x v="3"/>
    <x v="4"/>
    <x v="3"/>
    <x v="1"/>
    <x v="0"/>
    <x v="3"/>
    <x v="0"/>
    <x v="0"/>
    <x v="0"/>
    <x v="0"/>
    <x v="0"/>
    <n v="6040"/>
  </r>
  <r>
    <n v="8995"/>
    <x v="4"/>
    <x v="1"/>
    <x v="4"/>
    <x v="1"/>
    <x v="0"/>
    <x v="0"/>
    <x v="0"/>
    <x v="1"/>
    <x v="0"/>
    <x v="0"/>
    <x v="0"/>
    <n v="5680"/>
  </r>
  <r>
    <n v="8996"/>
    <x v="5"/>
    <x v="1"/>
    <x v="5"/>
    <x v="1"/>
    <x v="0"/>
    <x v="1"/>
    <x v="0"/>
    <x v="1"/>
    <x v="0"/>
    <x v="0"/>
    <x v="0"/>
    <n v="5800"/>
  </r>
  <r>
    <n v="8997"/>
    <x v="6"/>
    <x v="1"/>
    <x v="6"/>
    <x v="1"/>
    <x v="0"/>
    <x v="2"/>
    <x v="0"/>
    <x v="1"/>
    <x v="0"/>
    <x v="0"/>
    <x v="0"/>
    <n v="6040"/>
  </r>
  <r>
    <n v="8998"/>
    <x v="7"/>
    <x v="1"/>
    <x v="7"/>
    <x v="1"/>
    <x v="0"/>
    <x v="3"/>
    <x v="0"/>
    <x v="1"/>
    <x v="0"/>
    <x v="0"/>
    <x v="0"/>
    <n v="6640"/>
  </r>
  <r>
    <n v="8999"/>
    <x v="8"/>
    <x v="1"/>
    <x v="8"/>
    <x v="1"/>
    <x v="0"/>
    <x v="1"/>
    <x v="0"/>
    <x v="2"/>
    <x v="0"/>
    <x v="0"/>
    <x v="0"/>
    <n v="6040"/>
  </r>
  <r>
    <n v="9000"/>
    <x v="9"/>
    <x v="1"/>
    <x v="9"/>
    <x v="1"/>
    <x v="0"/>
    <x v="2"/>
    <x v="0"/>
    <x v="2"/>
    <x v="0"/>
    <x v="0"/>
    <x v="0"/>
    <n v="6390"/>
  </r>
  <r>
    <n v="9001"/>
    <x v="10"/>
    <x v="1"/>
    <x v="10"/>
    <x v="1"/>
    <x v="0"/>
    <x v="3"/>
    <x v="0"/>
    <x v="2"/>
    <x v="0"/>
    <x v="0"/>
    <x v="0"/>
    <n v="7110"/>
  </r>
  <r>
    <n v="9002"/>
    <x v="0"/>
    <x v="5"/>
    <x v="0"/>
    <x v="2"/>
    <x v="0"/>
    <x v="0"/>
    <x v="0"/>
    <x v="0"/>
    <x v="0"/>
    <x v="0"/>
    <x v="0"/>
    <n v="4710"/>
  </r>
  <r>
    <n v="9003"/>
    <x v="1"/>
    <x v="5"/>
    <x v="1"/>
    <x v="2"/>
    <x v="0"/>
    <x v="1"/>
    <x v="0"/>
    <x v="0"/>
    <x v="0"/>
    <x v="0"/>
    <x v="0"/>
    <n v="5170"/>
  </r>
  <r>
    <n v="9004"/>
    <x v="2"/>
    <x v="5"/>
    <x v="2"/>
    <x v="2"/>
    <x v="0"/>
    <x v="2"/>
    <x v="0"/>
    <x v="0"/>
    <x v="0"/>
    <x v="0"/>
    <x v="0"/>
    <n v="5500"/>
  </r>
  <r>
    <n v="9005"/>
    <x v="3"/>
    <x v="5"/>
    <x v="3"/>
    <x v="2"/>
    <x v="0"/>
    <x v="3"/>
    <x v="0"/>
    <x v="0"/>
    <x v="0"/>
    <x v="0"/>
    <x v="0"/>
    <n v="5880"/>
  </r>
  <r>
    <n v="9006"/>
    <x v="4"/>
    <x v="5"/>
    <x v="4"/>
    <x v="2"/>
    <x v="0"/>
    <x v="0"/>
    <x v="0"/>
    <x v="1"/>
    <x v="0"/>
    <x v="0"/>
    <x v="0"/>
    <n v="5400"/>
  </r>
  <r>
    <n v="9007"/>
    <x v="5"/>
    <x v="5"/>
    <x v="5"/>
    <x v="2"/>
    <x v="0"/>
    <x v="1"/>
    <x v="0"/>
    <x v="1"/>
    <x v="0"/>
    <x v="0"/>
    <x v="0"/>
    <n v="5500"/>
  </r>
  <r>
    <n v="9008"/>
    <x v="6"/>
    <x v="5"/>
    <x v="6"/>
    <x v="2"/>
    <x v="0"/>
    <x v="2"/>
    <x v="0"/>
    <x v="1"/>
    <x v="0"/>
    <x v="0"/>
    <x v="0"/>
    <n v="5880"/>
  </r>
  <r>
    <n v="9009"/>
    <x v="7"/>
    <x v="5"/>
    <x v="7"/>
    <x v="2"/>
    <x v="0"/>
    <x v="3"/>
    <x v="0"/>
    <x v="1"/>
    <x v="0"/>
    <x v="0"/>
    <x v="0"/>
    <n v="6460"/>
  </r>
  <r>
    <n v="9010"/>
    <x v="8"/>
    <x v="5"/>
    <x v="8"/>
    <x v="2"/>
    <x v="0"/>
    <x v="1"/>
    <x v="0"/>
    <x v="2"/>
    <x v="0"/>
    <x v="0"/>
    <x v="0"/>
    <n v="6110"/>
  </r>
  <r>
    <n v="9011"/>
    <x v="9"/>
    <x v="5"/>
    <x v="9"/>
    <x v="2"/>
    <x v="0"/>
    <x v="2"/>
    <x v="0"/>
    <x v="2"/>
    <x v="0"/>
    <x v="0"/>
    <x v="0"/>
    <n v="5880"/>
  </r>
  <r>
    <n v="9012"/>
    <x v="10"/>
    <x v="5"/>
    <x v="10"/>
    <x v="2"/>
    <x v="0"/>
    <x v="3"/>
    <x v="0"/>
    <x v="2"/>
    <x v="0"/>
    <x v="0"/>
    <x v="0"/>
    <n v="6930"/>
  </r>
  <r>
    <n v="9013"/>
    <x v="0"/>
    <x v="2"/>
    <x v="0"/>
    <x v="3"/>
    <x v="0"/>
    <x v="0"/>
    <x v="0"/>
    <x v="0"/>
    <x v="0"/>
    <x v="0"/>
    <x v="0"/>
    <n v="5080"/>
  </r>
  <r>
    <n v="9014"/>
    <x v="1"/>
    <x v="0"/>
    <x v="1"/>
    <x v="3"/>
    <x v="0"/>
    <x v="1"/>
    <x v="0"/>
    <x v="0"/>
    <x v="0"/>
    <x v="0"/>
    <x v="0"/>
    <n v="5430"/>
  </r>
  <r>
    <n v="9015"/>
    <x v="2"/>
    <x v="1"/>
    <x v="2"/>
    <x v="3"/>
    <x v="0"/>
    <x v="2"/>
    <x v="0"/>
    <x v="0"/>
    <x v="0"/>
    <x v="0"/>
    <x v="0"/>
    <n v="5680"/>
  </r>
  <r>
    <n v="9016"/>
    <x v="3"/>
    <x v="0"/>
    <x v="3"/>
    <x v="3"/>
    <x v="0"/>
    <x v="3"/>
    <x v="0"/>
    <x v="0"/>
    <x v="0"/>
    <x v="0"/>
    <x v="0"/>
    <n v="6040"/>
  </r>
  <r>
    <n v="9017"/>
    <x v="4"/>
    <x v="0"/>
    <x v="4"/>
    <x v="3"/>
    <x v="0"/>
    <x v="0"/>
    <x v="0"/>
    <x v="1"/>
    <x v="0"/>
    <x v="0"/>
    <x v="0"/>
    <n v="5680"/>
  </r>
  <r>
    <n v="9018"/>
    <x v="5"/>
    <x v="0"/>
    <x v="5"/>
    <x v="3"/>
    <x v="0"/>
    <x v="1"/>
    <x v="0"/>
    <x v="1"/>
    <x v="0"/>
    <x v="0"/>
    <x v="0"/>
    <n v="5800"/>
  </r>
  <r>
    <n v="9019"/>
    <x v="6"/>
    <x v="0"/>
    <x v="6"/>
    <x v="3"/>
    <x v="0"/>
    <x v="2"/>
    <x v="0"/>
    <x v="1"/>
    <x v="0"/>
    <x v="0"/>
    <x v="0"/>
    <n v="6040"/>
  </r>
  <r>
    <n v="9020"/>
    <x v="7"/>
    <x v="0"/>
    <x v="7"/>
    <x v="3"/>
    <x v="0"/>
    <x v="3"/>
    <x v="0"/>
    <x v="1"/>
    <x v="0"/>
    <x v="0"/>
    <x v="0"/>
    <n v="6640"/>
  </r>
  <r>
    <n v="9021"/>
    <x v="8"/>
    <x v="0"/>
    <x v="8"/>
    <x v="3"/>
    <x v="0"/>
    <x v="1"/>
    <x v="0"/>
    <x v="2"/>
    <x v="0"/>
    <x v="0"/>
    <x v="0"/>
    <n v="6040"/>
  </r>
  <r>
    <n v="9022"/>
    <x v="9"/>
    <x v="0"/>
    <x v="9"/>
    <x v="3"/>
    <x v="0"/>
    <x v="2"/>
    <x v="0"/>
    <x v="2"/>
    <x v="0"/>
    <x v="0"/>
    <x v="0"/>
    <n v="6390"/>
  </r>
  <r>
    <n v="9023"/>
    <x v="10"/>
    <x v="0"/>
    <x v="10"/>
    <x v="3"/>
    <x v="0"/>
    <x v="3"/>
    <x v="0"/>
    <x v="2"/>
    <x v="0"/>
    <x v="0"/>
    <x v="0"/>
    <n v="7110"/>
  </r>
  <r>
    <n v="9024"/>
    <x v="0"/>
    <x v="4"/>
    <x v="0"/>
    <x v="4"/>
    <x v="0"/>
    <x v="0"/>
    <x v="0"/>
    <x v="0"/>
    <x v="0"/>
    <x v="0"/>
    <x v="0"/>
    <n v="5080"/>
  </r>
  <r>
    <n v="9025"/>
    <x v="1"/>
    <x v="4"/>
    <x v="1"/>
    <x v="4"/>
    <x v="0"/>
    <x v="1"/>
    <x v="0"/>
    <x v="0"/>
    <x v="0"/>
    <x v="0"/>
    <x v="0"/>
    <n v="5430"/>
  </r>
  <r>
    <n v="962"/>
    <x v="0"/>
    <x v="6"/>
    <x v="0"/>
    <x v="5"/>
    <x v="0"/>
    <x v="0"/>
    <x v="1"/>
    <x v="0"/>
    <x v="0"/>
    <x v="0"/>
    <x v="0"/>
    <n v="5080"/>
  </r>
  <r>
    <n v="963"/>
    <x v="0"/>
    <x v="7"/>
    <x v="0"/>
    <x v="6"/>
    <x v="0"/>
    <x v="0"/>
    <x v="1"/>
    <x v="0"/>
    <x v="0"/>
    <x v="0"/>
    <x v="0"/>
    <n v="4710"/>
  </r>
  <r>
    <n v="964"/>
    <x v="0"/>
    <x v="8"/>
    <x v="0"/>
    <x v="7"/>
    <x v="0"/>
    <x v="0"/>
    <x v="1"/>
    <x v="0"/>
    <x v="0"/>
    <x v="0"/>
    <x v="0"/>
    <n v="4710"/>
  </r>
  <r>
    <n v="965"/>
    <x v="0"/>
    <x v="9"/>
    <x v="0"/>
    <x v="8"/>
    <x v="0"/>
    <x v="0"/>
    <x v="1"/>
    <x v="0"/>
    <x v="0"/>
    <x v="0"/>
    <x v="0"/>
    <n v="4710"/>
  </r>
  <r>
    <n v="966"/>
    <x v="0"/>
    <x v="10"/>
    <x v="0"/>
    <x v="9"/>
    <x v="0"/>
    <x v="0"/>
    <x v="1"/>
    <x v="0"/>
    <x v="0"/>
    <x v="0"/>
    <x v="0"/>
    <n v="5080"/>
  </r>
  <r>
    <n v="967"/>
    <x v="0"/>
    <x v="11"/>
    <x v="0"/>
    <x v="10"/>
    <x v="0"/>
    <x v="0"/>
    <x v="1"/>
    <x v="0"/>
    <x v="0"/>
    <x v="0"/>
    <x v="0"/>
    <n v="4710"/>
  </r>
  <r>
    <n v="968"/>
    <x v="1"/>
    <x v="6"/>
    <x v="1"/>
    <x v="5"/>
    <x v="0"/>
    <x v="1"/>
    <x v="1"/>
    <x v="0"/>
    <x v="0"/>
    <x v="0"/>
    <x v="0"/>
    <n v="5430"/>
  </r>
  <r>
    <n v="969"/>
    <x v="1"/>
    <x v="7"/>
    <x v="1"/>
    <x v="6"/>
    <x v="0"/>
    <x v="1"/>
    <x v="1"/>
    <x v="0"/>
    <x v="0"/>
    <x v="0"/>
    <x v="0"/>
    <n v="5170"/>
  </r>
  <r>
    <n v="970"/>
    <x v="1"/>
    <x v="8"/>
    <x v="1"/>
    <x v="7"/>
    <x v="0"/>
    <x v="1"/>
    <x v="1"/>
    <x v="0"/>
    <x v="0"/>
    <x v="0"/>
    <x v="0"/>
    <n v="5170"/>
  </r>
  <r>
    <n v="971"/>
    <x v="1"/>
    <x v="9"/>
    <x v="1"/>
    <x v="8"/>
    <x v="0"/>
    <x v="1"/>
    <x v="1"/>
    <x v="0"/>
    <x v="0"/>
    <x v="0"/>
    <x v="0"/>
    <n v="5170"/>
  </r>
  <r>
    <n v="972"/>
    <x v="1"/>
    <x v="10"/>
    <x v="1"/>
    <x v="9"/>
    <x v="0"/>
    <x v="1"/>
    <x v="1"/>
    <x v="0"/>
    <x v="0"/>
    <x v="0"/>
    <x v="0"/>
    <n v="5430"/>
  </r>
  <r>
    <n v="973"/>
    <x v="1"/>
    <x v="11"/>
    <x v="1"/>
    <x v="11"/>
    <x v="0"/>
    <x v="1"/>
    <x v="1"/>
    <x v="0"/>
    <x v="0"/>
    <x v="0"/>
    <x v="0"/>
    <n v="5170"/>
  </r>
  <r>
    <n v="974"/>
    <x v="2"/>
    <x v="6"/>
    <x v="2"/>
    <x v="5"/>
    <x v="0"/>
    <x v="2"/>
    <x v="1"/>
    <x v="0"/>
    <x v="0"/>
    <x v="0"/>
    <x v="0"/>
    <n v="5680"/>
  </r>
  <r>
    <n v="975"/>
    <x v="2"/>
    <x v="7"/>
    <x v="2"/>
    <x v="6"/>
    <x v="0"/>
    <x v="2"/>
    <x v="1"/>
    <x v="0"/>
    <x v="0"/>
    <x v="0"/>
    <x v="0"/>
    <n v="5500"/>
  </r>
  <r>
    <n v="976"/>
    <x v="2"/>
    <x v="8"/>
    <x v="2"/>
    <x v="7"/>
    <x v="0"/>
    <x v="2"/>
    <x v="1"/>
    <x v="0"/>
    <x v="0"/>
    <x v="0"/>
    <x v="0"/>
    <n v="5500"/>
  </r>
  <r>
    <n v="977"/>
    <x v="2"/>
    <x v="9"/>
    <x v="2"/>
    <x v="8"/>
    <x v="0"/>
    <x v="2"/>
    <x v="1"/>
    <x v="0"/>
    <x v="0"/>
    <x v="0"/>
    <x v="0"/>
    <n v="5500"/>
  </r>
  <r>
    <n v="978"/>
    <x v="2"/>
    <x v="10"/>
    <x v="2"/>
    <x v="9"/>
    <x v="0"/>
    <x v="2"/>
    <x v="1"/>
    <x v="0"/>
    <x v="0"/>
    <x v="0"/>
    <x v="0"/>
    <n v="5680"/>
  </r>
  <r>
    <n v="979"/>
    <x v="2"/>
    <x v="11"/>
    <x v="2"/>
    <x v="11"/>
    <x v="0"/>
    <x v="2"/>
    <x v="1"/>
    <x v="0"/>
    <x v="0"/>
    <x v="0"/>
    <x v="0"/>
    <n v="5500"/>
  </r>
  <r>
    <n v="980"/>
    <x v="3"/>
    <x v="6"/>
    <x v="3"/>
    <x v="5"/>
    <x v="0"/>
    <x v="3"/>
    <x v="1"/>
    <x v="0"/>
    <x v="0"/>
    <x v="0"/>
    <x v="0"/>
    <n v="6040"/>
  </r>
  <r>
    <n v="981"/>
    <x v="3"/>
    <x v="7"/>
    <x v="3"/>
    <x v="6"/>
    <x v="0"/>
    <x v="3"/>
    <x v="1"/>
    <x v="0"/>
    <x v="0"/>
    <x v="0"/>
    <x v="0"/>
    <n v="5880"/>
  </r>
  <r>
    <n v="982"/>
    <x v="3"/>
    <x v="8"/>
    <x v="3"/>
    <x v="7"/>
    <x v="0"/>
    <x v="3"/>
    <x v="1"/>
    <x v="0"/>
    <x v="0"/>
    <x v="0"/>
    <x v="0"/>
    <n v="5880"/>
  </r>
  <r>
    <n v="983"/>
    <x v="3"/>
    <x v="9"/>
    <x v="3"/>
    <x v="8"/>
    <x v="0"/>
    <x v="3"/>
    <x v="1"/>
    <x v="0"/>
    <x v="0"/>
    <x v="0"/>
    <x v="0"/>
    <n v="5880"/>
  </r>
  <r>
    <n v="984"/>
    <x v="3"/>
    <x v="10"/>
    <x v="3"/>
    <x v="9"/>
    <x v="0"/>
    <x v="3"/>
    <x v="1"/>
    <x v="0"/>
    <x v="0"/>
    <x v="0"/>
    <x v="0"/>
    <n v="6040"/>
  </r>
  <r>
    <n v="985"/>
    <x v="3"/>
    <x v="11"/>
    <x v="3"/>
    <x v="11"/>
    <x v="0"/>
    <x v="3"/>
    <x v="1"/>
    <x v="0"/>
    <x v="0"/>
    <x v="0"/>
    <x v="0"/>
    <n v="5880"/>
  </r>
  <r>
    <n v="986"/>
    <x v="4"/>
    <x v="6"/>
    <x v="4"/>
    <x v="5"/>
    <x v="0"/>
    <x v="0"/>
    <x v="1"/>
    <x v="1"/>
    <x v="0"/>
    <x v="0"/>
    <x v="0"/>
    <n v="5680"/>
  </r>
  <r>
    <n v="987"/>
    <x v="4"/>
    <x v="7"/>
    <x v="4"/>
    <x v="6"/>
    <x v="0"/>
    <x v="0"/>
    <x v="1"/>
    <x v="1"/>
    <x v="0"/>
    <x v="0"/>
    <x v="0"/>
    <n v="5400"/>
  </r>
  <r>
    <n v="988"/>
    <x v="4"/>
    <x v="8"/>
    <x v="4"/>
    <x v="7"/>
    <x v="0"/>
    <x v="0"/>
    <x v="1"/>
    <x v="1"/>
    <x v="0"/>
    <x v="0"/>
    <x v="0"/>
    <n v="5400"/>
  </r>
  <r>
    <n v="989"/>
    <x v="4"/>
    <x v="9"/>
    <x v="4"/>
    <x v="8"/>
    <x v="0"/>
    <x v="0"/>
    <x v="1"/>
    <x v="1"/>
    <x v="0"/>
    <x v="0"/>
    <x v="0"/>
    <n v="5400"/>
  </r>
  <r>
    <n v="990"/>
    <x v="4"/>
    <x v="10"/>
    <x v="4"/>
    <x v="9"/>
    <x v="0"/>
    <x v="0"/>
    <x v="1"/>
    <x v="1"/>
    <x v="0"/>
    <x v="0"/>
    <x v="0"/>
    <n v="5680"/>
  </r>
  <r>
    <n v="991"/>
    <x v="4"/>
    <x v="11"/>
    <x v="4"/>
    <x v="11"/>
    <x v="0"/>
    <x v="0"/>
    <x v="1"/>
    <x v="1"/>
    <x v="0"/>
    <x v="0"/>
    <x v="0"/>
    <n v="5400"/>
  </r>
  <r>
    <n v="992"/>
    <x v="5"/>
    <x v="6"/>
    <x v="5"/>
    <x v="5"/>
    <x v="0"/>
    <x v="1"/>
    <x v="1"/>
    <x v="1"/>
    <x v="0"/>
    <x v="0"/>
    <x v="0"/>
    <n v="5800"/>
  </r>
  <r>
    <n v="993"/>
    <x v="5"/>
    <x v="7"/>
    <x v="5"/>
    <x v="6"/>
    <x v="0"/>
    <x v="1"/>
    <x v="1"/>
    <x v="1"/>
    <x v="0"/>
    <x v="0"/>
    <x v="0"/>
    <n v="5500"/>
  </r>
  <r>
    <n v="994"/>
    <x v="5"/>
    <x v="8"/>
    <x v="5"/>
    <x v="7"/>
    <x v="0"/>
    <x v="1"/>
    <x v="1"/>
    <x v="1"/>
    <x v="0"/>
    <x v="0"/>
    <x v="0"/>
    <n v="5500"/>
  </r>
  <r>
    <n v="995"/>
    <x v="5"/>
    <x v="9"/>
    <x v="5"/>
    <x v="8"/>
    <x v="0"/>
    <x v="1"/>
    <x v="1"/>
    <x v="1"/>
    <x v="0"/>
    <x v="0"/>
    <x v="0"/>
    <n v="5500"/>
  </r>
  <r>
    <n v="996"/>
    <x v="5"/>
    <x v="10"/>
    <x v="5"/>
    <x v="9"/>
    <x v="0"/>
    <x v="1"/>
    <x v="1"/>
    <x v="1"/>
    <x v="0"/>
    <x v="0"/>
    <x v="0"/>
    <n v="5800"/>
  </r>
  <r>
    <n v="997"/>
    <x v="5"/>
    <x v="11"/>
    <x v="5"/>
    <x v="11"/>
    <x v="0"/>
    <x v="1"/>
    <x v="1"/>
    <x v="1"/>
    <x v="0"/>
    <x v="0"/>
    <x v="0"/>
    <n v="5500"/>
  </r>
  <r>
    <n v="998"/>
    <x v="6"/>
    <x v="6"/>
    <x v="6"/>
    <x v="5"/>
    <x v="0"/>
    <x v="2"/>
    <x v="1"/>
    <x v="1"/>
    <x v="0"/>
    <x v="0"/>
    <x v="0"/>
    <n v="6040"/>
  </r>
  <r>
    <n v="999"/>
    <x v="6"/>
    <x v="7"/>
    <x v="6"/>
    <x v="6"/>
    <x v="0"/>
    <x v="2"/>
    <x v="1"/>
    <x v="1"/>
    <x v="0"/>
    <x v="0"/>
    <x v="0"/>
    <n v="5880"/>
  </r>
  <r>
    <n v="1000"/>
    <x v="6"/>
    <x v="8"/>
    <x v="6"/>
    <x v="7"/>
    <x v="0"/>
    <x v="2"/>
    <x v="1"/>
    <x v="1"/>
    <x v="0"/>
    <x v="0"/>
    <x v="0"/>
    <n v="5880"/>
  </r>
  <r>
    <n v="1001"/>
    <x v="6"/>
    <x v="9"/>
    <x v="6"/>
    <x v="8"/>
    <x v="0"/>
    <x v="2"/>
    <x v="1"/>
    <x v="1"/>
    <x v="0"/>
    <x v="0"/>
    <x v="0"/>
    <n v="5880"/>
  </r>
  <r>
    <n v="1002"/>
    <x v="6"/>
    <x v="10"/>
    <x v="6"/>
    <x v="9"/>
    <x v="0"/>
    <x v="2"/>
    <x v="1"/>
    <x v="1"/>
    <x v="0"/>
    <x v="0"/>
    <x v="0"/>
    <n v="6040"/>
  </r>
  <r>
    <n v="1003"/>
    <x v="6"/>
    <x v="11"/>
    <x v="6"/>
    <x v="11"/>
    <x v="0"/>
    <x v="2"/>
    <x v="1"/>
    <x v="1"/>
    <x v="0"/>
    <x v="0"/>
    <x v="0"/>
    <n v="5880"/>
  </r>
  <r>
    <n v="1004"/>
    <x v="7"/>
    <x v="6"/>
    <x v="7"/>
    <x v="5"/>
    <x v="0"/>
    <x v="3"/>
    <x v="1"/>
    <x v="1"/>
    <x v="0"/>
    <x v="0"/>
    <x v="0"/>
    <n v="6640"/>
  </r>
  <r>
    <n v="1005"/>
    <x v="7"/>
    <x v="7"/>
    <x v="7"/>
    <x v="6"/>
    <x v="0"/>
    <x v="3"/>
    <x v="1"/>
    <x v="1"/>
    <x v="0"/>
    <x v="0"/>
    <x v="0"/>
    <n v="6460"/>
  </r>
  <r>
    <n v="1006"/>
    <x v="7"/>
    <x v="8"/>
    <x v="7"/>
    <x v="7"/>
    <x v="0"/>
    <x v="3"/>
    <x v="1"/>
    <x v="1"/>
    <x v="0"/>
    <x v="0"/>
    <x v="0"/>
    <n v="6460"/>
  </r>
  <r>
    <n v="1007"/>
    <x v="7"/>
    <x v="9"/>
    <x v="7"/>
    <x v="8"/>
    <x v="0"/>
    <x v="3"/>
    <x v="1"/>
    <x v="1"/>
    <x v="0"/>
    <x v="0"/>
    <x v="0"/>
    <n v="6460"/>
  </r>
  <r>
    <n v="1008"/>
    <x v="7"/>
    <x v="10"/>
    <x v="7"/>
    <x v="9"/>
    <x v="0"/>
    <x v="3"/>
    <x v="1"/>
    <x v="1"/>
    <x v="0"/>
    <x v="0"/>
    <x v="0"/>
    <n v="6640"/>
  </r>
  <r>
    <n v="1009"/>
    <x v="7"/>
    <x v="11"/>
    <x v="7"/>
    <x v="11"/>
    <x v="0"/>
    <x v="3"/>
    <x v="1"/>
    <x v="1"/>
    <x v="0"/>
    <x v="0"/>
    <x v="0"/>
    <n v="6460"/>
  </r>
  <r>
    <n v="1010"/>
    <x v="9"/>
    <x v="6"/>
    <x v="9"/>
    <x v="5"/>
    <x v="0"/>
    <x v="2"/>
    <x v="1"/>
    <x v="2"/>
    <x v="0"/>
    <x v="0"/>
    <x v="0"/>
    <n v="6390"/>
  </r>
  <r>
    <n v="1011"/>
    <x v="9"/>
    <x v="7"/>
    <x v="9"/>
    <x v="6"/>
    <x v="0"/>
    <x v="2"/>
    <x v="1"/>
    <x v="2"/>
    <x v="0"/>
    <x v="0"/>
    <x v="0"/>
    <n v="6110"/>
  </r>
  <r>
    <n v="1012"/>
    <x v="9"/>
    <x v="8"/>
    <x v="9"/>
    <x v="7"/>
    <x v="0"/>
    <x v="2"/>
    <x v="1"/>
    <x v="2"/>
    <x v="0"/>
    <x v="0"/>
    <x v="0"/>
    <n v="6110"/>
  </r>
  <r>
    <n v="1013"/>
    <x v="9"/>
    <x v="9"/>
    <x v="9"/>
    <x v="8"/>
    <x v="0"/>
    <x v="2"/>
    <x v="1"/>
    <x v="2"/>
    <x v="0"/>
    <x v="0"/>
    <x v="0"/>
    <n v="6110"/>
  </r>
  <r>
    <n v="1014"/>
    <x v="9"/>
    <x v="10"/>
    <x v="9"/>
    <x v="9"/>
    <x v="0"/>
    <x v="2"/>
    <x v="1"/>
    <x v="2"/>
    <x v="0"/>
    <x v="0"/>
    <x v="0"/>
    <n v="6390"/>
  </r>
  <r>
    <n v="1015"/>
    <x v="9"/>
    <x v="11"/>
    <x v="9"/>
    <x v="11"/>
    <x v="0"/>
    <x v="2"/>
    <x v="1"/>
    <x v="2"/>
    <x v="0"/>
    <x v="0"/>
    <x v="0"/>
    <n v="6110"/>
  </r>
  <r>
    <n v="1016"/>
    <x v="8"/>
    <x v="6"/>
    <x v="8"/>
    <x v="5"/>
    <x v="0"/>
    <x v="1"/>
    <x v="1"/>
    <x v="2"/>
    <x v="0"/>
    <x v="0"/>
    <x v="0"/>
    <n v="6040"/>
  </r>
  <r>
    <n v="1017"/>
    <x v="8"/>
    <x v="7"/>
    <x v="8"/>
    <x v="6"/>
    <x v="0"/>
    <x v="1"/>
    <x v="1"/>
    <x v="2"/>
    <x v="0"/>
    <x v="0"/>
    <x v="0"/>
    <n v="5880"/>
  </r>
  <r>
    <n v="1018"/>
    <x v="8"/>
    <x v="8"/>
    <x v="8"/>
    <x v="12"/>
    <x v="0"/>
    <x v="1"/>
    <x v="1"/>
    <x v="2"/>
    <x v="0"/>
    <x v="0"/>
    <x v="0"/>
    <n v="5880"/>
  </r>
  <r>
    <n v="1019"/>
    <x v="8"/>
    <x v="9"/>
    <x v="8"/>
    <x v="8"/>
    <x v="0"/>
    <x v="1"/>
    <x v="1"/>
    <x v="2"/>
    <x v="0"/>
    <x v="0"/>
    <x v="0"/>
    <n v="5880"/>
  </r>
  <r>
    <n v="1020"/>
    <x v="8"/>
    <x v="10"/>
    <x v="8"/>
    <x v="9"/>
    <x v="0"/>
    <x v="1"/>
    <x v="1"/>
    <x v="2"/>
    <x v="0"/>
    <x v="0"/>
    <x v="0"/>
    <n v="6040"/>
  </r>
  <r>
    <n v="1021"/>
    <x v="8"/>
    <x v="11"/>
    <x v="8"/>
    <x v="11"/>
    <x v="0"/>
    <x v="1"/>
    <x v="1"/>
    <x v="2"/>
    <x v="0"/>
    <x v="0"/>
    <x v="0"/>
    <n v="5880"/>
  </r>
  <r>
    <n v="1022"/>
    <x v="10"/>
    <x v="6"/>
    <x v="10"/>
    <x v="5"/>
    <x v="0"/>
    <x v="3"/>
    <x v="1"/>
    <x v="2"/>
    <x v="0"/>
    <x v="0"/>
    <x v="0"/>
    <n v="7110"/>
  </r>
  <r>
    <n v="1023"/>
    <x v="10"/>
    <x v="7"/>
    <x v="10"/>
    <x v="6"/>
    <x v="0"/>
    <x v="3"/>
    <x v="1"/>
    <x v="2"/>
    <x v="0"/>
    <x v="0"/>
    <x v="0"/>
    <n v="6930"/>
  </r>
  <r>
    <n v="1024"/>
    <x v="10"/>
    <x v="8"/>
    <x v="10"/>
    <x v="7"/>
    <x v="0"/>
    <x v="3"/>
    <x v="1"/>
    <x v="2"/>
    <x v="0"/>
    <x v="0"/>
    <x v="0"/>
    <n v="6930"/>
  </r>
  <r>
    <n v="1025"/>
    <x v="10"/>
    <x v="9"/>
    <x v="10"/>
    <x v="8"/>
    <x v="0"/>
    <x v="3"/>
    <x v="1"/>
    <x v="2"/>
    <x v="0"/>
    <x v="0"/>
    <x v="0"/>
    <n v="6930"/>
  </r>
  <r>
    <n v="1026"/>
    <x v="10"/>
    <x v="10"/>
    <x v="10"/>
    <x v="9"/>
    <x v="0"/>
    <x v="3"/>
    <x v="1"/>
    <x v="2"/>
    <x v="0"/>
    <x v="0"/>
    <x v="0"/>
    <n v="7110"/>
  </r>
  <r>
    <n v="1027"/>
    <x v="10"/>
    <x v="11"/>
    <x v="10"/>
    <x v="11"/>
    <x v="0"/>
    <x v="3"/>
    <x v="1"/>
    <x v="2"/>
    <x v="0"/>
    <x v="0"/>
    <x v="0"/>
    <n v="6930"/>
  </r>
  <r>
    <n v="1028"/>
    <x v="11"/>
    <x v="6"/>
    <x v="11"/>
    <x v="13"/>
    <x v="0"/>
    <x v="0"/>
    <x v="1"/>
    <x v="0"/>
    <x v="0"/>
    <x v="0"/>
    <x v="0"/>
    <n v="5880"/>
  </r>
  <r>
    <n v="1029"/>
    <x v="11"/>
    <x v="9"/>
    <x v="11"/>
    <x v="14"/>
    <x v="0"/>
    <x v="0"/>
    <x v="1"/>
    <x v="0"/>
    <x v="0"/>
    <x v="0"/>
    <x v="0"/>
    <n v="5880"/>
  </r>
  <r>
    <n v="1030"/>
    <x v="11"/>
    <x v="7"/>
    <x v="11"/>
    <x v="15"/>
    <x v="0"/>
    <x v="0"/>
    <x v="1"/>
    <x v="0"/>
    <x v="0"/>
    <x v="0"/>
    <x v="0"/>
    <n v="5400"/>
  </r>
  <r>
    <n v="1031"/>
    <x v="12"/>
    <x v="6"/>
    <x v="12"/>
    <x v="13"/>
    <x v="0"/>
    <x v="1"/>
    <x v="1"/>
    <x v="0"/>
    <x v="0"/>
    <x v="0"/>
    <x v="0"/>
    <n v="6460"/>
  </r>
  <r>
    <n v="1032"/>
    <x v="12"/>
    <x v="9"/>
    <x v="12"/>
    <x v="14"/>
    <x v="0"/>
    <x v="1"/>
    <x v="1"/>
    <x v="0"/>
    <x v="0"/>
    <x v="0"/>
    <x v="0"/>
    <n v="6460"/>
  </r>
  <r>
    <n v="1033"/>
    <x v="12"/>
    <x v="7"/>
    <x v="12"/>
    <x v="15"/>
    <x v="0"/>
    <x v="1"/>
    <x v="1"/>
    <x v="0"/>
    <x v="0"/>
    <x v="0"/>
    <x v="0"/>
    <n v="5880"/>
  </r>
  <r>
    <n v="1034"/>
    <x v="13"/>
    <x v="6"/>
    <x v="13"/>
    <x v="13"/>
    <x v="0"/>
    <x v="2"/>
    <x v="1"/>
    <x v="0"/>
    <x v="0"/>
    <x v="0"/>
    <x v="0"/>
    <n v="7040"/>
  </r>
  <r>
    <n v="1035"/>
    <x v="13"/>
    <x v="9"/>
    <x v="13"/>
    <x v="14"/>
    <x v="0"/>
    <x v="2"/>
    <x v="1"/>
    <x v="0"/>
    <x v="0"/>
    <x v="0"/>
    <x v="0"/>
    <n v="7040"/>
  </r>
  <r>
    <n v="1036"/>
    <x v="13"/>
    <x v="7"/>
    <x v="13"/>
    <x v="15"/>
    <x v="0"/>
    <x v="2"/>
    <x v="1"/>
    <x v="0"/>
    <x v="0"/>
    <x v="0"/>
    <x v="0"/>
    <n v="6580"/>
  </r>
  <r>
    <n v="1037"/>
    <x v="14"/>
    <x v="6"/>
    <x v="14"/>
    <x v="13"/>
    <x v="0"/>
    <x v="3"/>
    <x v="1"/>
    <x v="0"/>
    <x v="0"/>
    <x v="0"/>
    <x v="0"/>
    <n v="8220"/>
  </r>
  <r>
    <n v="1038"/>
    <x v="14"/>
    <x v="9"/>
    <x v="14"/>
    <x v="14"/>
    <x v="0"/>
    <x v="3"/>
    <x v="1"/>
    <x v="0"/>
    <x v="0"/>
    <x v="0"/>
    <x v="0"/>
    <n v="8220"/>
  </r>
  <r>
    <n v="1039"/>
    <x v="14"/>
    <x v="7"/>
    <x v="14"/>
    <x v="15"/>
    <x v="0"/>
    <x v="3"/>
    <x v="1"/>
    <x v="0"/>
    <x v="0"/>
    <x v="0"/>
    <x v="0"/>
    <n v="7630"/>
  </r>
  <r>
    <n v="1040"/>
    <x v="15"/>
    <x v="6"/>
    <x v="15"/>
    <x v="13"/>
    <x v="0"/>
    <x v="0"/>
    <x v="1"/>
    <x v="1"/>
    <x v="0"/>
    <x v="0"/>
    <x v="0"/>
    <n v="7040"/>
  </r>
  <r>
    <n v="1041"/>
    <x v="15"/>
    <x v="9"/>
    <x v="15"/>
    <x v="14"/>
    <x v="0"/>
    <x v="0"/>
    <x v="1"/>
    <x v="1"/>
    <x v="0"/>
    <x v="0"/>
    <x v="0"/>
    <n v="7040"/>
  </r>
  <r>
    <n v="1042"/>
    <x v="15"/>
    <x v="7"/>
    <x v="15"/>
    <x v="15"/>
    <x v="0"/>
    <x v="0"/>
    <x v="1"/>
    <x v="1"/>
    <x v="0"/>
    <x v="0"/>
    <x v="0"/>
    <n v="6460"/>
  </r>
  <r>
    <n v="1043"/>
    <x v="16"/>
    <x v="6"/>
    <x v="16"/>
    <x v="13"/>
    <x v="0"/>
    <x v="1"/>
    <x v="1"/>
    <x v="1"/>
    <x v="0"/>
    <x v="0"/>
    <x v="0"/>
    <n v="7740"/>
  </r>
  <r>
    <n v="1044"/>
    <x v="16"/>
    <x v="9"/>
    <x v="16"/>
    <x v="14"/>
    <x v="0"/>
    <x v="1"/>
    <x v="1"/>
    <x v="1"/>
    <x v="0"/>
    <x v="0"/>
    <x v="0"/>
    <n v="7740"/>
  </r>
  <r>
    <n v="1045"/>
    <x v="16"/>
    <x v="7"/>
    <x v="16"/>
    <x v="15"/>
    <x v="0"/>
    <x v="1"/>
    <x v="1"/>
    <x v="1"/>
    <x v="0"/>
    <x v="0"/>
    <x v="0"/>
    <n v="7040"/>
  </r>
  <r>
    <n v="1046"/>
    <x v="17"/>
    <x v="6"/>
    <x v="17"/>
    <x v="13"/>
    <x v="0"/>
    <x v="2"/>
    <x v="1"/>
    <x v="1"/>
    <x v="0"/>
    <x v="0"/>
    <x v="0"/>
    <n v="8220"/>
  </r>
  <r>
    <n v="1047"/>
    <x v="17"/>
    <x v="9"/>
    <x v="17"/>
    <x v="14"/>
    <x v="0"/>
    <x v="2"/>
    <x v="1"/>
    <x v="1"/>
    <x v="0"/>
    <x v="0"/>
    <x v="0"/>
    <n v="8220"/>
  </r>
  <r>
    <n v="1048"/>
    <x v="17"/>
    <x v="7"/>
    <x v="17"/>
    <x v="15"/>
    <x v="0"/>
    <x v="2"/>
    <x v="1"/>
    <x v="1"/>
    <x v="0"/>
    <x v="0"/>
    <x v="0"/>
    <n v="7630"/>
  </r>
  <r>
    <n v="1049"/>
    <x v="18"/>
    <x v="6"/>
    <x v="18"/>
    <x v="13"/>
    <x v="0"/>
    <x v="3"/>
    <x v="1"/>
    <x v="1"/>
    <x v="0"/>
    <x v="0"/>
    <x v="0"/>
    <n v="8800"/>
  </r>
  <r>
    <n v="1050"/>
    <x v="18"/>
    <x v="9"/>
    <x v="18"/>
    <x v="14"/>
    <x v="0"/>
    <x v="3"/>
    <x v="1"/>
    <x v="1"/>
    <x v="0"/>
    <x v="0"/>
    <x v="0"/>
    <n v="8800"/>
  </r>
  <r>
    <n v="1051"/>
    <x v="18"/>
    <x v="7"/>
    <x v="18"/>
    <x v="15"/>
    <x v="0"/>
    <x v="3"/>
    <x v="1"/>
    <x v="1"/>
    <x v="0"/>
    <x v="0"/>
    <x v="0"/>
    <n v="8090"/>
  </r>
  <r>
    <n v="1052"/>
    <x v="19"/>
    <x v="6"/>
    <x v="19"/>
    <x v="13"/>
    <x v="0"/>
    <x v="1"/>
    <x v="1"/>
    <x v="2"/>
    <x v="0"/>
    <x v="0"/>
    <x v="0"/>
    <n v="8220"/>
  </r>
  <r>
    <n v="1053"/>
    <x v="19"/>
    <x v="9"/>
    <x v="19"/>
    <x v="14"/>
    <x v="0"/>
    <x v="1"/>
    <x v="1"/>
    <x v="2"/>
    <x v="0"/>
    <x v="0"/>
    <x v="0"/>
    <n v="8220"/>
  </r>
  <r>
    <n v="1054"/>
    <x v="19"/>
    <x v="7"/>
    <x v="19"/>
    <x v="15"/>
    <x v="0"/>
    <x v="1"/>
    <x v="1"/>
    <x v="2"/>
    <x v="0"/>
    <x v="0"/>
    <x v="0"/>
    <n v="7630"/>
  </r>
  <r>
    <n v="1055"/>
    <x v="20"/>
    <x v="6"/>
    <x v="20"/>
    <x v="13"/>
    <x v="0"/>
    <x v="2"/>
    <x v="1"/>
    <x v="2"/>
    <x v="0"/>
    <x v="0"/>
    <x v="0"/>
    <n v="8800"/>
  </r>
  <r>
    <n v="1056"/>
    <x v="20"/>
    <x v="9"/>
    <x v="20"/>
    <x v="14"/>
    <x v="0"/>
    <x v="2"/>
    <x v="1"/>
    <x v="2"/>
    <x v="0"/>
    <x v="0"/>
    <x v="0"/>
    <n v="8800"/>
  </r>
  <r>
    <n v="1057"/>
    <x v="20"/>
    <x v="7"/>
    <x v="20"/>
    <x v="15"/>
    <x v="0"/>
    <x v="2"/>
    <x v="1"/>
    <x v="2"/>
    <x v="0"/>
    <x v="0"/>
    <x v="0"/>
    <n v="8090"/>
  </r>
  <r>
    <n v="1058"/>
    <x v="21"/>
    <x v="6"/>
    <x v="21"/>
    <x v="13"/>
    <x v="0"/>
    <x v="3"/>
    <x v="1"/>
    <x v="2"/>
    <x v="0"/>
    <x v="0"/>
    <x v="0"/>
    <n v="9380"/>
  </r>
  <r>
    <n v="1059"/>
    <x v="21"/>
    <x v="9"/>
    <x v="21"/>
    <x v="14"/>
    <x v="0"/>
    <x v="3"/>
    <x v="1"/>
    <x v="2"/>
    <x v="0"/>
    <x v="0"/>
    <x v="0"/>
    <n v="9380"/>
  </r>
  <r>
    <n v="1060"/>
    <x v="21"/>
    <x v="7"/>
    <x v="21"/>
    <x v="15"/>
    <x v="0"/>
    <x v="3"/>
    <x v="1"/>
    <x v="2"/>
    <x v="0"/>
    <x v="0"/>
    <x v="0"/>
    <n v="8700"/>
  </r>
  <r>
    <n v="1061"/>
    <x v="22"/>
    <x v="6"/>
    <x v="22"/>
    <x v="16"/>
    <x v="0"/>
    <x v="4"/>
    <x v="1"/>
    <x v="3"/>
    <x v="1"/>
    <x v="0"/>
    <x v="0"/>
    <n v="1860"/>
  </r>
  <r>
    <n v="1062"/>
    <x v="22"/>
    <x v="9"/>
    <x v="22"/>
    <x v="17"/>
    <x v="0"/>
    <x v="4"/>
    <x v="1"/>
    <x v="3"/>
    <x v="1"/>
    <x v="0"/>
    <x v="0"/>
    <n v="1860"/>
  </r>
  <r>
    <n v="1063"/>
    <x v="22"/>
    <x v="7"/>
    <x v="22"/>
    <x v="18"/>
    <x v="0"/>
    <x v="4"/>
    <x v="1"/>
    <x v="3"/>
    <x v="1"/>
    <x v="0"/>
    <x v="0"/>
    <n v="1750"/>
  </r>
  <r>
    <n v="1064"/>
    <x v="23"/>
    <x v="6"/>
    <x v="23"/>
    <x v="16"/>
    <x v="0"/>
    <x v="5"/>
    <x v="1"/>
    <x v="3"/>
    <x v="1"/>
    <x v="0"/>
    <x v="0"/>
    <n v="2200"/>
  </r>
  <r>
    <n v="1065"/>
    <x v="23"/>
    <x v="9"/>
    <x v="23"/>
    <x v="17"/>
    <x v="0"/>
    <x v="5"/>
    <x v="1"/>
    <x v="3"/>
    <x v="1"/>
    <x v="0"/>
    <x v="0"/>
    <n v="2200"/>
  </r>
  <r>
    <n v="1066"/>
    <x v="23"/>
    <x v="7"/>
    <x v="23"/>
    <x v="18"/>
    <x v="0"/>
    <x v="5"/>
    <x v="1"/>
    <x v="3"/>
    <x v="1"/>
    <x v="0"/>
    <x v="0"/>
    <n v="1970"/>
  </r>
  <r>
    <n v="1067"/>
    <x v="24"/>
    <x v="6"/>
    <x v="24"/>
    <x v="16"/>
    <x v="0"/>
    <x v="6"/>
    <x v="1"/>
    <x v="3"/>
    <x v="1"/>
    <x v="0"/>
    <x v="0"/>
    <n v="2530"/>
  </r>
  <r>
    <n v="1068"/>
    <x v="24"/>
    <x v="9"/>
    <x v="24"/>
    <x v="17"/>
    <x v="0"/>
    <x v="6"/>
    <x v="1"/>
    <x v="3"/>
    <x v="1"/>
    <x v="0"/>
    <x v="0"/>
    <n v="2530"/>
  </r>
  <r>
    <n v="1069"/>
    <x v="24"/>
    <x v="7"/>
    <x v="24"/>
    <x v="18"/>
    <x v="0"/>
    <x v="6"/>
    <x v="1"/>
    <x v="3"/>
    <x v="1"/>
    <x v="0"/>
    <x v="0"/>
    <n v="2310"/>
  </r>
  <r>
    <n v="1070"/>
    <x v="25"/>
    <x v="6"/>
    <x v="25"/>
    <x v="16"/>
    <x v="0"/>
    <x v="7"/>
    <x v="1"/>
    <x v="3"/>
    <x v="1"/>
    <x v="0"/>
    <x v="0"/>
    <n v="2890"/>
  </r>
  <r>
    <n v="1071"/>
    <x v="25"/>
    <x v="9"/>
    <x v="25"/>
    <x v="17"/>
    <x v="0"/>
    <x v="7"/>
    <x v="1"/>
    <x v="3"/>
    <x v="1"/>
    <x v="0"/>
    <x v="0"/>
    <n v="2890"/>
  </r>
  <r>
    <n v="1072"/>
    <x v="25"/>
    <x v="7"/>
    <x v="25"/>
    <x v="18"/>
    <x v="0"/>
    <x v="7"/>
    <x v="1"/>
    <x v="3"/>
    <x v="1"/>
    <x v="0"/>
    <x v="0"/>
    <n v="2530"/>
  </r>
  <r>
    <n v="1073"/>
    <x v="26"/>
    <x v="6"/>
    <x v="26"/>
    <x v="16"/>
    <x v="0"/>
    <x v="8"/>
    <x v="1"/>
    <x v="3"/>
    <x v="1"/>
    <x v="0"/>
    <x v="0"/>
    <n v="3230"/>
  </r>
  <r>
    <n v="1074"/>
    <x v="26"/>
    <x v="9"/>
    <x v="26"/>
    <x v="17"/>
    <x v="0"/>
    <x v="8"/>
    <x v="1"/>
    <x v="3"/>
    <x v="1"/>
    <x v="0"/>
    <x v="0"/>
    <n v="3230"/>
  </r>
  <r>
    <n v="1075"/>
    <x v="26"/>
    <x v="7"/>
    <x v="26"/>
    <x v="18"/>
    <x v="0"/>
    <x v="8"/>
    <x v="1"/>
    <x v="3"/>
    <x v="1"/>
    <x v="0"/>
    <x v="0"/>
    <n v="3000"/>
  </r>
  <r>
    <n v="1076"/>
    <x v="27"/>
    <x v="6"/>
    <x v="27"/>
    <x v="16"/>
    <x v="0"/>
    <x v="9"/>
    <x v="1"/>
    <x v="3"/>
    <x v="1"/>
    <x v="0"/>
    <x v="0"/>
    <n v="4150"/>
  </r>
  <r>
    <n v="1077"/>
    <x v="27"/>
    <x v="9"/>
    <x v="27"/>
    <x v="17"/>
    <x v="0"/>
    <x v="9"/>
    <x v="1"/>
    <x v="3"/>
    <x v="1"/>
    <x v="0"/>
    <x v="0"/>
    <n v="4150"/>
  </r>
  <r>
    <n v="1078"/>
    <x v="27"/>
    <x v="7"/>
    <x v="27"/>
    <x v="18"/>
    <x v="0"/>
    <x v="9"/>
    <x v="1"/>
    <x v="3"/>
    <x v="1"/>
    <x v="0"/>
    <x v="0"/>
    <n v="3810"/>
  </r>
  <r>
    <n v="9026"/>
    <x v="2"/>
    <x v="4"/>
    <x v="2"/>
    <x v="4"/>
    <x v="0"/>
    <x v="2"/>
    <x v="0"/>
    <x v="0"/>
    <x v="0"/>
    <x v="0"/>
    <x v="0"/>
    <n v="5680"/>
  </r>
  <r>
    <n v="9027"/>
    <x v="3"/>
    <x v="1"/>
    <x v="3"/>
    <x v="4"/>
    <x v="0"/>
    <x v="3"/>
    <x v="0"/>
    <x v="0"/>
    <x v="0"/>
    <x v="0"/>
    <x v="0"/>
    <n v="6040"/>
  </r>
  <r>
    <n v="9028"/>
    <x v="4"/>
    <x v="4"/>
    <x v="4"/>
    <x v="4"/>
    <x v="0"/>
    <x v="0"/>
    <x v="0"/>
    <x v="1"/>
    <x v="0"/>
    <x v="0"/>
    <x v="0"/>
    <n v="5680"/>
  </r>
  <r>
    <n v="9029"/>
    <x v="5"/>
    <x v="4"/>
    <x v="5"/>
    <x v="4"/>
    <x v="0"/>
    <x v="1"/>
    <x v="0"/>
    <x v="1"/>
    <x v="0"/>
    <x v="0"/>
    <x v="0"/>
    <n v="5800"/>
  </r>
  <r>
    <n v="9030"/>
    <x v="6"/>
    <x v="4"/>
    <x v="6"/>
    <x v="4"/>
    <x v="0"/>
    <x v="2"/>
    <x v="0"/>
    <x v="1"/>
    <x v="0"/>
    <x v="0"/>
    <x v="0"/>
    <n v="6040"/>
  </r>
  <r>
    <n v="9092"/>
    <x v="22"/>
    <x v="11"/>
    <x v="22"/>
    <x v="19"/>
    <x v="0"/>
    <x v="4"/>
    <x v="0"/>
    <x v="4"/>
    <x v="1"/>
    <x v="0"/>
    <x v="0"/>
    <n v="1860"/>
  </r>
  <r>
    <n v="9093"/>
    <x v="23"/>
    <x v="11"/>
    <x v="23"/>
    <x v="19"/>
    <x v="0"/>
    <x v="5"/>
    <x v="0"/>
    <x v="4"/>
    <x v="1"/>
    <x v="0"/>
    <x v="0"/>
    <n v="2200"/>
  </r>
  <r>
    <n v="9094"/>
    <x v="24"/>
    <x v="11"/>
    <x v="24"/>
    <x v="19"/>
    <x v="0"/>
    <x v="6"/>
    <x v="0"/>
    <x v="4"/>
    <x v="1"/>
    <x v="0"/>
    <x v="0"/>
    <n v="2530"/>
  </r>
  <r>
    <n v="9095"/>
    <x v="25"/>
    <x v="11"/>
    <x v="25"/>
    <x v="19"/>
    <x v="0"/>
    <x v="7"/>
    <x v="0"/>
    <x v="4"/>
    <x v="1"/>
    <x v="0"/>
    <x v="0"/>
    <n v="2890"/>
  </r>
  <r>
    <n v="9096"/>
    <x v="26"/>
    <x v="11"/>
    <x v="26"/>
    <x v="19"/>
    <x v="0"/>
    <x v="8"/>
    <x v="0"/>
    <x v="4"/>
    <x v="1"/>
    <x v="0"/>
    <x v="0"/>
    <n v="3230"/>
  </r>
  <r>
    <n v="9097"/>
    <x v="27"/>
    <x v="11"/>
    <x v="27"/>
    <x v="19"/>
    <x v="0"/>
    <x v="9"/>
    <x v="0"/>
    <x v="4"/>
    <x v="1"/>
    <x v="0"/>
    <x v="0"/>
    <n v="4150"/>
  </r>
  <r>
    <n v="9031"/>
    <x v="7"/>
    <x v="4"/>
    <x v="7"/>
    <x v="4"/>
    <x v="0"/>
    <x v="3"/>
    <x v="0"/>
    <x v="1"/>
    <x v="0"/>
    <x v="0"/>
    <x v="0"/>
    <n v="6640"/>
  </r>
  <r>
    <n v="9032"/>
    <x v="8"/>
    <x v="4"/>
    <x v="8"/>
    <x v="4"/>
    <x v="0"/>
    <x v="1"/>
    <x v="0"/>
    <x v="2"/>
    <x v="0"/>
    <x v="0"/>
    <x v="0"/>
    <n v="6040"/>
  </r>
  <r>
    <n v="9033"/>
    <x v="9"/>
    <x v="4"/>
    <x v="9"/>
    <x v="4"/>
    <x v="0"/>
    <x v="2"/>
    <x v="0"/>
    <x v="2"/>
    <x v="0"/>
    <x v="0"/>
    <x v="0"/>
    <n v="6390"/>
  </r>
  <r>
    <n v="9034"/>
    <x v="10"/>
    <x v="4"/>
    <x v="10"/>
    <x v="4"/>
    <x v="0"/>
    <x v="3"/>
    <x v="0"/>
    <x v="2"/>
    <x v="0"/>
    <x v="0"/>
    <x v="0"/>
    <n v="7110"/>
  </r>
  <r>
    <n v="9035"/>
    <x v="3"/>
    <x v="12"/>
    <x v="3"/>
    <x v="20"/>
    <x v="0"/>
    <x v="3"/>
    <x v="0"/>
    <x v="0"/>
    <x v="0"/>
    <x v="0"/>
    <x v="0"/>
    <n v="5880"/>
  </r>
  <r>
    <n v="9036"/>
    <x v="2"/>
    <x v="12"/>
    <x v="2"/>
    <x v="20"/>
    <x v="0"/>
    <x v="2"/>
    <x v="0"/>
    <x v="0"/>
    <x v="0"/>
    <x v="0"/>
    <x v="0"/>
    <n v="5500"/>
  </r>
  <r>
    <n v="9037"/>
    <x v="8"/>
    <x v="12"/>
    <x v="8"/>
    <x v="20"/>
    <x v="0"/>
    <x v="1"/>
    <x v="0"/>
    <x v="2"/>
    <x v="0"/>
    <x v="0"/>
    <x v="0"/>
    <n v="5880"/>
  </r>
  <r>
    <n v="9038"/>
    <x v="6"/>
    <x v="12"/>
    <x v="6"/>
    <x v="20"/>
    <x v="0"/>
    <x v="2"/>
    <x v="0"/>
    <x v="1"/>
    <x v="0"/>
    <x v="0"/>
    <x v="0"/>
    <n v="5880"/>
  </r>
  <r>
    <n v="9039"/>
    <x v="10"/>
    <x v="12"/>
    <x v="10"/>
    <x v="20"/>
    <x v="0"/>
    <x v="3"/>
    <x v="0"/>
    <x v="2"/>
    <x v="0"/>
    <x v="0"/>
    <x v="0"/>
    <n v="6930"/>
  </r>
  <r>
    <n v="9040"/>
    <x v="4"/>
    <x v="12"/>
    <x v="4"/>
    <x v="20"/>
    <x v="0"/>
    <x v="0"/>
    <x v="0"/>
    <x v="1"/>
    <x v="0"/>
    <x v="0"/>
    <x v="0"/>
    <n v="5400"/>
  </r>
  <r>
    <n v="9041"/>
    <x v="1"/>
    <x v="12"/>
    <x v="1"/>
    <x v="20"/>
    <x v="0"/>
    <x v="1"/>
    <x v="0"/>
    <x v="0"/>
    <x v="0"/>
    <x v="0"/>
    <x v="0"/>
    <n v="5170"/>
  </r>
  <r>
    <n v="9042"/>
    <x v="7"/>
    <x v="12"/>
    <x v="7"/>
    <x v="20"/>
    <x v="0"/>
    <x v="3"/>
    <x v="0"/>
    <x v="1"/>
    <x v="0"/>
    <x v="0"/>
    <x v="0"/>
    <n v="6460"/>
  </r>
  <r>
    <n v="9043"/>
    <x v="5"/>
    <x v="12"/>
    <x v="5"/>
    <x v="20"/>
    <x v="0"/>
    <x v="1"/>
    <x v="0"/>
    <x v="1"/>
    <x v="0"/>
    <x v="0"/>
    <x v="0"/>
    <n v="5500"/>
  </r>
  <r>
    <n v="9044"/>
    <x v="0"/>
    <x v="12"/>
    <x v="0"/>
    <x v="20"/>
    <x v="0"/>
    <x v="0"/>
    <x v="0"/>
    <x v="0"/>
    <x v="0"/>
    <x v="0"/>
    <x v="0"/>
    <n v="4710"/>
  </r>
  <r>
    <n v="9045"/>
    <x v="9"/>
    <x v="12"/>
    <x v="9"/>
    <x v="20"/>
    <x v="0"/>
    <x v="2"/>
    <x v="0"/>
    <x v="2"/>
    <x v="0"/>
    <x v="0"/>
    <x v="0"/>
    <n v="611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0">
  <r>
    <m/>
    <x v="0"/>
    <x v="0"/>
    <x v="0"/>
    <x v="0"/>
    <x v="0"/>
    <x v="0"/>
    <x v="0"/>
    <x v="0"/>
    <x v="0"/>
    <x v="0"/>
    <n v="26390"/>
  </r>
  <r>
    <m/>
    <x v="0"/>
    <x v="0"/>
    <x v="1"/>
    <x v="1"/>
    <x v="1"/>
    <x v="1"/>
    <x v="1"/>
    <x v="1"/>
    <x v="1"/>
    <x v="0"/>
    <n v="22150"/>
  </r>
  <r>
    <m/>
    <x v="0"/>
    <x v="0"/>
    <x v="1"/>
    <x v="2"/>
    <x v="2"/>
    <x v="0"/>
    <x v="2"/>
    <x v="1"/>
    <x v="1"/>
    <x v="0"/>
    <n v="24190"/>
  </r>
  <r>
    <m/>
    <x v="0"/>
    <x v="1"/>
    <x v="0"/>
    <x v="1"/>
    <x v="3"/>
    <x v="2"/>
    <x v="3"/>
    <x v="0"/>
    <x v="2"/>
    <x v="0"/>
    <n v="29040"/>
  </r>
  <r>
    <m/>
    <x v="0"/>
    <x v="1"/>
    <x v="0"/>
    <x v="2"/>
    <x v="2"/>
    <x v="3"/>
    <x v="4"/>
    <x v="0"/>
    <x v="3"/>
    <x v="0"/>
    <n v="30900"/>
  </r>
  <r>
    <m/>
    <x v="0"/>
    <x v="1"/>
    <x v="1"/>
    <x v="3"/>
    <x v="3"/>
    <x v="1"/>
    <x v="5"/>
    <x v="1"/>
    <x v="3"/>
    <x v="0"/>
    <n v="26940"/>
  </r>
  <r>
    <m/>
    <x v="0"/>
    <x v="1"/>
    <x v="1"/>
    <x v="2"/>
    <x v="2"/>
    <x v="3"/>
    <x v="6"/>
    <x v="1"/>
    <x v="3"/>
    <x v="0"/>
    <n v="29550"/>
  </r>
  <r>
    <s v="CSKU00860_2EK"/>
    <x v="0"/>
    <x v="0"/>
    <x v="1"/>
    <x v="4"/>
    <x v="3"/>
    <x v="1"/>
    <x v="7"/>
    <x v="1"/>
    <x v="4"/>
    <x v="0"/>
    <n v="21470"/>
  </r>
  <r>
    <s v="CSKU01228_2EK"/>
    <x v="0"/>
    <x v="0"/>
    <x v="1"/>
    <x v="5"/>
    <x v="3"/>
    <x v="1"/>
    <x v="8"/>
    <x v="1"/>
    <x v="4"/>
    <x v="0"/>
    <n v="26610"/>
  </r>
  <r>
    <s v="CSKU02121_2EK"/>
    <x v="0"/>
    <x v="0"/>
    <x v="1"/>
    <x v="4"/>
    <x v="3"/>
    <x v="2"/>
    <x v="9"/>
    <x v="1"/>
    <x v="5"/>
    <x v="0"/>
    <n v="23830"/>
  </r>
  <r>
    <s v="CSKU02385_3EK"/>
    <x v="0"/>
    <x v="1"/>
    <x v="0"/>
    <x v="2"/>
    <x v="1"/>
    <x v="1"/>
    <x v="10"/>
    <x v="0"/>
    <x v="6"/>
    <x v="0"/>
    <n v="31060"/>
  </r>
  <r>
    <s v="CSKU02578_3EK"/>
    <x v="0"/>
    <x v="1"/>
    <x v="1"/>
    <x v="2"/>
    <x v="3"/>
    <x v="1"/>
    <x v="11"/>
    <x v="1"/>
    <x v="6"/>
    <x v="0"/>
    <n v="28460"/>
  </r>
  <r>
    <s v="CSKU02841_3EK"/>
    <x v="0"/>
    <x v="1"/>
    <x v="1"/>
    <x v="3"/>
    <x v="1"/>
    <x v="1"/>
    <x v="12"/>
    <x v="1"/>
    <x v="6"/>
    <x v="0"/>
    <n v="32560"/>
  </r>
  <r>
    <s v="CSKU03096_3EK"/>
    <x v="0"/>
    <x v="1"/>
    <x v="0"/>
    <x v="1"/>
    <x v="1"/>
    <x v="2"/>
    <x v="13"/>
    <x v="0"/>
    <x v="7"/>
    <x v="0"/>
    <n v="32250"/>
  </r>
  <r>
    <s v="CSKU03827_3EK"/>
    <x v="0"/>
    <x v="1"/>
    <x v="1"/>
    <x v="1"/>
    <x v="1"/>
    <x v="1"/>
    <x v="14"/>
    <x v="1"/>
    <x v="6"/>
    <x v="0"/>
    <n v="27730"/>
  </r>
  <r>
    <s v="CSKU04090_3EK"/>
    <x v="0"/>
    <x v="1"/>
    <x v="0"/>
    <x v="3"/>
    <x v="1"/>
    <x v="2"/>
    <x v="15"/>
    <x v="0"/>
    <x v="7"/>
    <x v="0"/>
    <n v="37160"/>
  </r>
  <r>
    <s v="CSKU04363_3EK"/>
    <x v="0"/>
    <x v="1"/>
    <x v="0"/>
    <x v="2"/>
    <x v="1"/>
    <x v="1"/>
    <x v="16"/>
    <x v="0"/>
    <x v="6"/>
    <x v="0"/>
    <n v="38870"/>
  </r>
  <r>
    <s v="CSKU04734_3EK"/>
    <x v="0"/>
    <x v="1"/>
    <x v="1"/>
    <x v="3"/>
    <x v="3"/>
    <x v="2"/>
    <x v="17"/>
    <x v="1"/>
    <x v="7"/>
    <x v="0"/>
    <n v="15820"/>
  </r>
  <r>
    <s v="CSKU04364_3EK"/>
    <x v="0"/>
    <x v="1"/>
    <x v="0"/>
    <x v="2"/>
    <x v="1"/>
    <x v="2"/>
    <x v="16"/>
    <x v="0"/>
    <x v="7"/>
    <x v="0"/>
    <n v="42250"/>
  </r>
  <r>
    <s v="CSKU04365_3EK"/>
    <x v="0"/>
    <x v="1"/>
    <x v="0"/>
    <x v="2"/>
    <x v="3"/>
    <x v="1"/>
    <x v="16"/>
    <x v="0"/>
    <x v="6"/>
    <x v="0"/>
    <n v="41400"/>
  </r>
  <r>
    <s v="CSKU04366_3EK"/>
    <x v="0"/>
    <x v="1"/>
    <x v="0"/>
    <x v="2"/>
    <x v="3"/>
    <x v="2"/>
    <x v="16"/>
    <x v="0"/>
    <x v="7"/>
    <x v="0"/>
    <n v="46040"/>
  </r>
  <r>
    <s v="CSKU04367_3EK"/>
    <x v="0"/>
    <x v="1"/>
    <x v="1"/>
    <x v="1"/>
    <x v="1"/>
    <x v="1"/>
    <x v="16"/>
    <x v="1"/>
    <x v="6"/>
    <x v="0"/>
    <n v="27730"/>
  </r>
  <r>
    <s v="CSKU04368_3EK"/>
    <x v="0"/>
    <x v="1"/>
    <x v="1"/>
    <x v="1"/>
    <x v="1"/>
    <x v="2"/>
    <x v="16"/>
    <x v="1"/>
    <x v="7"/>
    <x v="0"/>
    <n v="30600"/>
  </r>
  <r>
    <s v="CSKU04369_3EK"/>
    <x v="0"/>
    <x v="1"/>
    <x v="1"/>
    <x v="1"/>
    <x v="3"/>
    <x v="1"/>
    <x v="16"/>
    <x v="1"/>
    <x v="6"/>
    <x v="0"/>
    <n v="29550"/>
  </r>
  <r>
    <s v="CSKU04370_3EK"/>
    <x v="0"/>
    <x v="1"/>
    <x v="1"/>
    <x v="1"/>
    <x v="3"/>
    <x v="2"/>
    <x v="16"/>
    <x v="1"/>
    <x v="7"/>
    <x v="0"/>
    <n v="33320"/>
  </r>
  <r>
    <s v="CSKU04371_3EK"/>
    <x v="0"/>
    <x v="1"/>
    <x v="1"/>
    <x v="3"/>
    <x v="1"/>
    <x v="1"/>
    <x v="16"/>
    <x v="1"/>
    <x v="6"/>
    <x v="0"/>
    <n v="32560"/>
  </r>
  <r>
    <s v="CSKU04372_3EK"/>
    <x v="0"/>
    <x v="1"/>
    <x v="1"/>
    <x v="3"/>
    <x v="1"/>
    <x v="2"/>
    <x v="16"/>
    <x v="1"/>
    <x v="7"/>
    <x v="0"/>
    <n v="35430"/>
  </r>
  <r>
    <s v="CSKU04373_3EK"/>
    <x v="0"/>
    <x v="1"/>
    <x v="1"/>
    <x v="3"/>
    <x v="3"/>
    <x v="1"/>
    <x v="16"/>
    <x v="1"/>
    <x v="6"/>
    <x v="0"/>
    <n v="34740"/>
  </r>
  <r>
    <s v="CSKU04374_3EK"/>
    <x v="0"/>
    <x v="1"/>
    <x v="1"/>
    <x v="3"/>
    <x v="3"/>
    <x v="2"/>
    <x v="16"/>
    <x v="1"/>
    <x v="7"/>
    <x v="0"/>
    <n v="38730"/>
  </r>
  <r>
    <s v="CSKU04091_3EK"/>
    <x v="0"/>
    <x v="1"/>
    <x v="0"/>
    <x v="3"/>
    <x v="3"/>
    <x v="1"/>
    <x v="15"/>
    <x v="0"/>
    <x v="6"/>
    <x v="0"/>
    <n v="36160"/>
  </r>
  <r>
    <s v="CSKU04092_3EK"/>
    <x v="0"/>
    <x v="1"/>
    <x v="0"/>
    <x v="3"/>
    <x v="3"/>
    <x v="2"/>
    <x v="15"/>
    <x v="0"/>
    <x v="7"/>
    <x v="0"/>
    <n v="40630"/>
  </r>
  <r>
    <s v="CSKU04093_3EK"/>
    <x v="0"/>
    <x v="1"/>
    <x v="0"/>
    <x v="2"/>
    <x v="1"/>
    <x v="1"/>
    <x v="15"/>
    <x v="0"/>
    <x v="6"/>
    <x v="0"/>
    <n v="38870"/>
  </r>
  <r>
    <s v="CSKU04094_3EK"/>
    <x v="0"/>
    <x v="1"/>
    <x v="0"/>
    <x v="2"/>
    <x v="1"/>
    <x v="2"/>
    <x v="15"/>
    <x v="0"/>
    <x v="7"/>
    <x v="0"/>
    <n v="42250"/>
  </r>
  <r>
    <s v="CSKU04095_3EK"/>
    <x v="0"/>
    <x v="1"/>
    <x v="0"/>
    <x v="2"/>
    <x v="3"/>
    <x v="1"/>
    <x v="15"/>
    <x v="0"/>
    <x v="6"/>
    <x v="0"/>
    <n v="41400"/>
  </r>
  <r>
    <s v="CSKU04096_3EK"/>
    <x v="0"/>
    <x v="1"/>
    <x v="0"/>
    <x v="2"/>
    <x v="3"/>
    <x v="2"/>
    <x v="15"/>
    <x v="0"/>
    <x v="7"/>
    <x v="0"/>
    <n v="46040"/>
  </r>
  <r>
    <s v="CSKU04097_3EK"/>
    <x v="0"/>
    <x v="1"/>
    <x v="1"/>
    <x v="1"/>
    <x v="1"/>
    <x v="1"/>
    <x v="15"/>
    <x v="1"/>
    <x v="6"/>
    <x v="0"/>
    <n v="27730"/>
  </r>
  <r>
    <s v="CSKU04098_3EK"/>
    <x v="0"/>
    <x v="1"/>
    <x v="1"/>
    <x v="1"/>
    <x v="1"/>
    <x v="2"/>
    <x v="15"/>
    <x v="1"/>
    <x v="7"/>
    <x v="0"/>
    <n v="30600"/>
  </r>
  <r>
    <s v="CSKU04099_3EK"/>
    <x v="0"/>
    <x v="1"/>
    <x v="1"/>
    <x v="1"/>
    <x v="3"/>
    <x v="1"/>
    <x v="15"/>
    <x v="1"/>
    <x v="6"/>
    <x v="0"/>
    <n v="29550"/>
  </r>
  <r>
    <s v="CSKU04625_3EK"/>
    <x v="0"/>
    <x v="1"/>
    <x v="0"/>
    <x v="1"/>
    <x v="1"/>
    <x v="1"/>
    <x v="18"/>
    <x v="0"/>
    <x v="6"/>
    <x v="0"/>
    <n v="29050"/>
  </r>
  <r>
    <s v="CSKU04634_3EK"/>
    <x v="0"/>
    <x v="1"/>
    <x v="0"/>
    <x v="2"/>
    <x v="1"/>
    <x v="2"/>
    <x v="18"/>
    <x v="0"/>
    <x v="7"/>
    <x v="0"/>
    <n v="42250"/>
  </r>
  <r>
    <s v="CSKU04635_3EK"/>
    <x v="0"/>
    <x v="1"/>
    <x v="0"/>
    <x v="2"/>
    <x v="3"/>
    <x v="1"/>
    <x v="18"/>
    <x v="0"/>
    <x v="6"/>
    <x v="0"/>
    <n v="41400"/>
  </r>
  <r>
    <s v="CSKU04735_3EK"/>
    <x v="0"/>
    <x v="1"/>
    <x v="1"/>
    <x v="2"/>
    <x v="1"/>
    <x v="1"/>
    <x v="17"/>
    <x v="1"/>
    <x v="6"/>
    <x v="0"/>
    <n v="12360"/>
  </r>
  <r>
    <s v="CSKU04736_3EK"/>
    <x v="0"/>
    <x v="1"/>
    <x v="1"/>
    <x v="2"/>
    <x v="1"/>
    <x v="2"/>
    <x v="17"/>
    <x v="1"/>
    <x v="7"/>
    <x v="0"/>
    <n v="15370"/>
  </r>
  <r>
    <s v="CSKU04737_3EK"/>
    <x v="0"/>
    <x v="1"/>
    <x v="1"/>
    <x v="2"/>
    <x v="3"/>
    <x v="1"/>
    <x v="17"/>
    <x v="1"/>
    <x v="6"/>
    <x v="0"/>
    <n v="12590"/>
  </r>
  <r>
    <s v="CSKU04738_3EK"/>
    <x v="0"/>
    <x v="1"/>
    <x v="1"/>
    <x v="2"/>
    <x v="3"/>
    <x v="2"/>
    <x v="17"/>
    <x v="1"/>
    <x v="7"/>
    <x v="0"/>
    <n v="16720"/>
  </r>
  <r>
    <s v="CSKU04100_3EK"/>
    <x v="0"/>
    <x v="1"/>
    <x v="1"/>
    <x v="1"/>
    <x v="3"/>
    <x v="2"/>
    <x v="15"/>
    <x v="1"/>
    <x v="7"/>
    <x v="0"/>
    <n v="33320"/>
  </r>
  <r>
    <s v="CSKU04375_3EK"/>
    <x v="0"/>
    <x v="1"/>
    <x v="1"/>
    <x v="2"/>
    <x v="1"/>
    <x v="1"/>
    <x v="16"/>
    <x v="1"/>
    <x v="6"/>
    <x v="0"/>
    <n v="37390"/>
  </r>
  <r>
    <s v="CSKU04626_3EK"/>
    <x v="0"/>
    <x v="1"/>
    <x v="0"/>
    <x v="1"/>
    <x v="1"/>
    <x v="2"/>
    <x v="18"/>
    <x v="0"/>
    <x v="7"/>
    <x v="0"/>
    <n v="32250"/>
  </r>
  <r>
    <s v="CSKU03828_3EK"/>
    <x v="0"/>
    <x v="1"/>
    <x v="1"/>
    <x v="1"/>
    <x v="1"/>
    <x v="2"/>
    <x v="14"/>
    <x v="1"/>
    <x v="7"/>
    <x v="0"/>
    <n v="30600"/>
  </r>
  <r>
    <s v="CSKU03829_3EK"/>
    <x v="0"/>
    <x v="1"/>
    <x v="1"/>
    <x v="1"/>
    <x v="3"/>
    <x v="1"/>
    <x v="14"/>
    <x v="1"/>
    <x v="6"/>
    <x v="0"/>
    <n v="29550"/>
  </r>
  <r>
    <s v="CSKU03830_3EK"/>
    <x v="0"/>
    <x v="1"/>
    <x v="1"/>
    <x v="1"/>
    <x v="3"/>
    <x v="2"/>
    <x v="14"/>
    <x v="1"/>
    <x v="7"/>
    <x v="0"/>
    <n v="33320"/>
  </r>
  <r>
    <s v="CSKU03831_3EK"/>
    <x v="0"/>
    <x v="1"/>
    <x v="1"/>
    <x v="3"/>
    <x v="1"/>
    <x v="1"/>
    <x v="14"/>
    <x v="1"/>
    <x v="6"/>
    <x v="0"/>
    <n v="32560"/>
  </r>
  <r>
    <s v="CSKU03832_3EK"/>
    <x v="0"/>
    <x v="1"/>
    <x v="1"/>
    <x v="3"/>
    <x v="1"/>
    <x v="2"/>
    <x v="14"/>
    <x v="1"/>
    <x v="7"/>
    <x v="0"/>
    <n v="35430"/>
  </r>
  <r>
    <s v="CSKU03833_3EK"/>
    <x v="0"/>
    <x v="1"/>
    <x v="1"/>
    <x v="3"/>
    <x v="3"/>
    <x v="1"/>
    <x v="14"/>
    <x v="1"/>
    <x v="6"/>
    <x v="0"/>
    <n v="34740"/>
  </r>
  <r>
    <s v="CSKU03834_3EK"/>
    <x v="0"/>
    <x v="1"/>
    <x v="1"/>
    <x v="3"/>
    <x v="3"/>
    <x v="2"/>
    <x v="14"/>
    <x v="1"/>
    <x v="7"/>
    <x v="0"/>
    <n v="38730"/>
  </r>
  <r>
    <s v="CSKU03835_3EK"/>
    <x v="0"/>
    <x v="1"/>
    <x v="1"/>
    <x v="2"/>
    <x v="1"/>
    <x v="1"/>
    <x v="14"/>
    <x v="1"/>
    <x v="6"/>
    <x v="0"/>
    <n v="37390"/>
  </r>
  <r>
    <s v="CSKU03836_3EK"/>
    <x v="0"/>
    <x v="1"/>
    <x v="1"/>
    <x v="2"/>
    <x v="1"/>
    <x v="2"/>
    <x v="14"/>
    <x v="1"/>
    <x v="7"/>
    <x v="0"/>
    <n v="40400"/>
  </r>
  <r>
    <s v="CSKU03837_3EK"/>
    <x v="0"/>
    <x v="1"/>
    <x v="1"/>
    <x v="2"/>
    <x v="3"/>
    <x v="1"/>
    <x v="14"/>
    <x v="1"/>
    <x v="6"/>
    <x v="0"/>
    <n v="39890"/>
  </r>
  <r>
    <s v="CSKU04101_3EK"/>
    <x v="0"/>
    <x v="1"/>
    <x v="1"/>
    <x v="3"/>
    <x v="1"/>
    <x v="1"/>
    <x v="15"/>
    <x v="1"/>
    <x v="6"/>
    <x v="0"/>
    <n v="32560"/>
  </r>
  <r>
    <s v="CSKU04102_3EK"/>
    <x v="0"/>
    <x v="1"/>
    <x v="1"/>
    <x v="3"/>
    <x v="1"/>
    <x v="2"/>
    <x v="15"/>
    <x v="1"/>
    <x v="7"/>
    <x v="0"/>
    <n v="35430"/>
  </r>
  <r>
    <s v="CSKU04103_3EK"/>
    <x v="0"/>
    <x v="1"/>
    <x v="1"/>
    <x v="3"/>
    <x v="3"/>
    <x v="1"/>
    <x v="15"/>
    <x v="1"/>
    <x v="6"/>
    <x v="0"/>
    <n v="34740"/>
  </r>
  <r>
    <s v="CSKU04104_3EK"/>
    <x v="0"/>
    <x v="1"/>
    <x v="1"/>
    <x v="3"/>
    <x v="3"/>
    <x v="2"/>
    <x v="15"/>
    <x v="1"/>
    <x v="7"/>
    <x v="0"/>
    <n v="38730"/>
  </r>
  <r>
    <s v="CSKU04105_3EK"/>
    <x v="0"/>
    <x v="1"/>
    <x v="1"/>
    <x v="2"/>
    <x v="1"/>
    <x v="1"/>
    <x v="15"/>
    <x v="1"/>
    <x v="6"/>
    <x v="0"/>
    <n v="37390"/>
  </r>
  <r>
    <s v="CSKU04106_3EK"/>
    <x v="0"/>
    <x v="1"/>
    <x v="1"/>
    <x v="2"/>
    <x v="1"/>
    <x v="2"/>
    <x v="15"/>
    <x v="1"/>
    <x v="7"/>
    <x v="0"/>
    <n v="40400"/>
  </r>
  <r>
    <s v="CSKU04107_3EK"/>
    <x v="0"/>
    <x v="1"/>
    <x v="1"/>
    <x v="2"/>
    <x v="3"/>
    <x v="1"/>
    <x v="15"/>
    <x v="1"/>
    <x v="6"/>
    <x v="0"/>
    <n v="39890"/>
  </r>
  <r>
    <s v="CSKU04108_3EK"/>
    <x v="0"/>
    <x v="1"/>
    <x v="1"/>
    <x v="2"/>
    <x v="3"/>
    <x v="2"/>
    <x v="15"/>
    <x v="1"/>
    <x v="7"/>
    <x v="0"/>
    <n v="44020"/>
  </r>
  <r>
    <s v="CSKU04627_3EK"/>
    <x v="0"/>
    <x v="1"/>
    <x v="0"/>
    <x v="1"/>
    <x v="3"/>
    <x v="1"/>
    <x v="18"/>
    <x v="0"/>
    <x v="6"/>
    <x v="0"/>
    <n v="30900"/>
  </r>
  <r>
    <s v="CSKU04628_3EK"/>
    <x v="0"/>
    <x v="1"/>
    <x v="0"/>
    <x v="1"/>
    <x v="3"/>
    <x v="2"/>
    <x v="18"/>
    <x v="0"/>
    <x v="7"/>
    <x v="0"/>
    <n v="35110"/>
  </r>
  <r>
    <s v="CSKU04629_3EK"/>
    <x v="0"/>
    <x v="1"/>
    <x v="0"/>
    <x v="3"/>
    <x v="1"/>
    <x v="1"/>
    <x v="18"/>
    <x v="0"/>
    <x v="6"/>
    <x v="0"/>
    <n v="33950"/>
  </r>
  <r>
    <s v="CSKU04630_3EK"/>
    <x v="0"/>
    <x v="1"/>
    <x v="0"/>
    <x v="3"/>
    <x v="1"/>
    <x v="2"/>
    <x v="18"/>
    <x v="0"/>
    <x v="7"/>
    <x v="0"/>
    <n v="37160"/>
  </r>
  <r>
    <s v="CSKU04631_3EK"/>
    <x v="0"/>
    <x v="1"/>
    <x v="0"/>
    <x v="3"/>
    <x v="3"/>
    <x v="1"/>
    <x v="18"/>
    <x v="0"/>
    <x v="6"/>
    <x v="0"/>
    <n v="36160"/>
  </r>
  <r>
    <s v="CSKU04632_3EK"/>
    <x v="0"/>
    <x v="1"/>
    <x v="0"/>
    <x v="3"/>
    <x v="3"/>
    <x v="2"/>
    <x v="18"/>
    <x v="0"/>
    <x v="7"/>
    <x v="0"/>
    <n v="40630"/>
  </r>
  <r>
    <s v="CSKU04633_3EK"/>
    <x v="0"/>
    <x v="1"/>
    <x v="0"/>
    <x v="2"/>
    <x v="1"/>
    <x v="1"/>
    <x v="18"/>
    <x v="0"/>
    <x v="6"/>
    <x v="0"/>
    <n v="38870"/>
  </r>
  <r>
    <s v="CSKU04376_3EK"/>
    <x v="0"/>
    <x v="1"/>
    <x v="1"/>
    <x v="2"/>
    <x v="1"/>
    <x v="2"/>
    <x v="16"/>
    <x v="1"/>
    <x v="7"/>
    <x v="0"/>
    <n v="40400"/>
  </r>
  <r>
    <s v="CSKU04377_3EK"/>
    <x v="0"/>
    <x v="1"/>
    <x v="1"/>
    <x v="2"/>
    <x v="3"/>
    <x v="1"/>
    <x v="16"/>
    <x v="1"/>
    <x v="6"/>
    <x v="0"/>
    <n v="39890"/>
  </r>
  <r>
    <s v="CSKU04378_3EK"/>
    <x v="0"/>
    <x v="1"/>
    <x v="1"/>
    <x v="2"/>
    <x v="3"/>
    <x v="2"/>
    <x v="16"/>
    <x v="1"/>
    <x v="7"/>
    <x v="0"/>
    <n v="44020"/>
  </r>
  <r>
    <s v="CSKU03097_3EK"/>
    <x v="0"/>
    <x v="1"/>
    <x v="0"/>
    <x v="1"/>
    <x v="3"/>
    <x v="1"/>
    <x v="13"/>
    <x v="0"/>
    <x v="6"/>
    <x v="0"/>
    <n v="30900"/>
  </r>
  <r>
    <s v="CSKU03098_3EK"/>
    <x v="0"/>
    <x v="1"/>
    <x v="0"/>
    <x v="1"/>
    <x v="3"/>
    <x v="2"/>
    <x v="13"/>
    <x v="0"/>
    <x v="7"/>
    <x v="0"/>
    <n v="35110"/>
  </r>
  <r>
    <s v="CSKU03099_3EK"/>
    <x v="0"/>
    <x v="1"/>
    <x v="0"/>
    <x v="3"/>
    <x v="1"/>
    <x v="1"/>
    <x v="13"/>
    <x v="0"/>
    <x v="6"/>
    <x v="0"/>
    <n v="33950"/>
  </r>
  <r>
    <s v="CSKU03100_3EK"/>
    <x v="0"/>
    <x v="1"/>
    <x v="0"/>
    <x v="3"/>
    <x v="1"/>
    <x v="2"/>
    <x v="13"/>
    <x v="0"/>
    <x v="7"/>
    <x v="0"/>
    <n v="37160"/>
  </r>
  <r>
    <s v="CSKU03101_3EK"/>
    <x v="0"/>
    <x v="1"/>
    <x v="0"/>
    <x v="3"/>
    <x v="3"/>
    <x v="1"/>
    <x v="13"/>
    <x v="0"/>
    <x v="6"/>
    <x v="0"/>
    <n v="36160"/>
  </r>
  <r>
    <s v="CSKU03102_3EK"/>
    <x v="0"/>
    <x v="1"/>
    <x v="0"/>
    <x v="3"/>
    <x v="3"/>
    <x v="2"/>
    <x v="13"/>
    <x v="0"/>
    <x v="7"/>
    <x v="0"/>
    <n v="40630"/>
  </r>
  <r>
    <s v="CSKU03103_3EK"/>
    <x v="0"/>
    <x v="1"/>
    <x v="0"/>
    <x v="2"/>
    <x v="1"/>
    <x v="1"/>
    <x v="13"/>
    <x v="0"/>
    <x v="6"/>
    <x v="0"/>
    <n v="38870"/>
  </r>
  <r>
    <s v="CSKU03104_3EK"/>
    <x v="0"/>
    <x v="1"/>
    <x v="0"/>
    <x v="2"/>
    <x v="1"/>
    <x v="2"/>
    <x v="13"/>
    <x v="0"/>
    <x v="7"/>
    <x v="0"/>
    <n v="42250"/>
  </r>
  <r>
    <s v="CSKU03105_3EK"/>
    <x v="0"/>
    <x v="1"/>
    <x v="0"/>
    <x v="2"/>
    <x v="3"/>
    <x v="1"/>
    <x v="13"/>
    <x v="0"/>
    <x v="6"/>
    <x v="0"/>
    <n v="41400"/>
  </r>
  <r>
    <s v="CSKU03106_3EK"/>
    <x v="0"/>
    <x v="1"/>
    <x v="0"/>
    <x v="2"/>
    <x v="3"/>
    <x v="2"/>
    <x v="13"/>
    <x v="0"/>
    <x v="7"/>
    <x v="0"/>
    <n v="46040"/>
  </r>
  <r>
    <s v="CSKU03838_3EK"/>
    <x v="0"/>
    <x v="1"/>
    <x v="1"/>
    <x v="2"/>
    <x v="3"/>
    <x v="2"/>
    <x v="14"/>
    <x v="1"/>
    <x v="7"/>
    <x v="0"/>
    <n v="44020"/>
  </r>
  <r>
    <s v="CSKU03725_3EK"/>
    <x v="0"/>
    <x v="1"/>
    <x v="0"/>
    <x v="1"/>
    <x v="1"/>
    <x v="1"/>
    <x v="19"/>
    <x v="0"/>
    <x v="6"/>
    <x v="0"/>
    <n v="29050"/>
  </r>
  <r>
    <s v="CSKU03726_3EK"/>
    <x v="0"/>
    <x v="1"/>
    <x v="0"/>
    <x v="1"/>
    <x v="1"/>
    <x v="2"/>
    <x v="19"/>
    <x v="0"/>
    <x v="7"/>
    <x v="0"/>
    <n v="32250"/>
  </r>
  <r>
    <s v="CSKU03727_3EK"/>
    <x v="0"/>
    <x v="1"/>
    <x v="0"/>
    <x v="1"/>
    <x v="3"/>
    <x v="1"/>
    <x v="19"/>
    <x v="0"/>
    <x v="6"/>
    <x v="0"/>
    <n v="30900"/>
  </r>
  <r>
    <s v="CSKU03728_3EK"/>
    <x v="0"/>
    <x v="1"/>
    <x v="0"/>
    <x v="1"/>
    <x v="3"/>
    <x v="2"/>
    <x v="19"/>
    <x v="0"/>
    <x v="7"/>
    <x v="0"/>
    <n v="35110"/>
  </r>
  <r>
    <s v="CSKU03729_3EK"/>
    <x v="0"/>
    <x v="1"/>
    <x v="0"/>
    <x v="3"/>
    <x v="1"/>
    <x v="1"/>
    <x v="19"/>
    <x v="0"/>
    <x v="6"/>
    <x v="0"/>
    <n v="33950"/>
  </r>
  <r>
    <s v="CSKU03730_3EK"/>
    <x v="0"/>
    <x v="1"/>
    <x v="0"/>
    <x v="3"/>
    <x v="1"/>
    <x v="2"/>
    <x v="19"/>
    <x v="0"/>
    <x v="7"/>
    <x v="0"/>
    <n v="37160"/>
  </r>
  <r>
    <s v="CSKU03731_3EK"/>
    <x v="0"/>
    <x v="1"/>
    <x v="0"/>
    <x v="3"/>
    <x v="3"/>
    <x v="1"/>
    <x v="19"/>
    <x v="0"/>
    <x v="6"/>
    <x v="0"/>
    <n v="36160"/>
  </r>
  <r>
    <s v="CSKU03732_3EK"/>
    <x v="0"/>
    <x v="1"/>
    <x v="0"/>
    <x v="3"/>
    <x v="3"/>
    <x v="2"/>
    <x v="19"/>
    <x v="0"/>
    <x v="7"/>
    <x v="0"/>
    <n v="40630"/>
  </r>
  <r>
    <s v="CSKU03733_3EK"/>
    <x v="0"/>
    <x v="1"/>
    <x v="0"/>
    <x v="2"/>
    <x v="1"/>
    <x v="1"/>
    <x v="19"/>
    <x v="0"/>
    <x v="6"/>
    <x v="0"/>
    <n v="38870"/>
  </r>
  <r>
    <s v="CSKU03734_3EK"/>
    <x v="0"/>
    <x v="1"/>
    <x v="0"/>
    <x v="2"/>
    <x v="1"/>
    <x v="2"/>
    <x v="19"/>
    <x v="0"/>
    <x v="7"/>
    <x v="0"/>
    <n v="42250"/>
  </r>
  <r>
    <s v="CSKU03735_3EK"/>
    <x v="0"/>
    <x v="1"/>
    <x v="0"/>
    <x v="2"/>
    <x v="3"/>
    <x v="1"/>
    <x v="19"/>
    <x v="0"/>
    <x v="6"/>
    <x v="0"/>
    <n v="41400"/>
  </r>
  <r>
    <s v="CSKU03736_3EK"/>
    <x v="0"/>
    <x v="1"/>
    <x v="0"/>
    <x v="2"/>
    <x v="3"/>
    <x v="2"/>
    <x v="19"/>
    <x v="0"/>
    <x v="7"/>
    <x v="0"/>
    <n v="46040"/>
  </r>
  <r>
    <s v="CSKU03737_3EK"/>
    <x v="0"/>
    <x v="1"/>
    <x v="1"/>
    <x v="1"/>
    <x v="1"/>
    <x v="1"/>
    <x v="19"/>
    <x v="1"/>
    <x v="6"/>
    <x v="0"/>
    <n v="27730"/>
  </r>
  <r>
    <s v="CSKU03738_3EK"/>
    <x v="0"/>
    <x v="1"/>
    <x v="1"/>
    <x v="1"/>
    <x v="1"/>
    <x v="2"/>
    <x v="19"/>
    <x v="1"/>
    <x v="7"/>
    <x v="0"/>
    <n v="30600"/>
  </r>
  <r>
    <s v="CSKU03739_3EK"/>
    <x v="0"/>
    <x v="1"/>
    <x v="1"/>
    <x v="1"/>
    <x v="3"/>
    <x v="1"/>
    <x v="19"/>
    <x v="1"/>
    <x v="6"/>
    <x v="0"/>
    <n v="29550"/>
  </r>
  <r>
    <s v="CSKU03740_3EK"/>
    <x v="0"/>
    <x v="1"/>
    <x v="1"/>
    <x v="1"/>
    <x v="3"/>
    <x v="2"/>
    <x v="19"/>
    <x v="1"/>
    <x v="7"/>
    <x v="0"/>
    <n v="33320"/>
  </r>
  <r>
    <s v="CSKU03741_3EK"/>
    <x v="0"/>
    <x v="1"/>
    <x v="1"/>
    <x v="3"/>
    <x v="1"/>
    <x v="1"/>
    <x v="19"/>
    <x v="1"/>
    <x v="6"/>
    <x v="0"/>
    <n v="32560"/>
  </r>
  <r>
    <s v="CSKU03742_3EK"/>
    <x v="0"/>
    <x v="1"/>
    <x v="1"/>
    <x v="3"/>
    <x v="1"/>
    <x v="2"/>
    <x v="19"/>
    <x v="1"/>
    <x v="7"/>
    <x v="0"/>
    <n v="35430"/>
  </r>
  <r>
    <s v="CSKU02735_3EK"/>
    <x v="0"/>
    <x v="1"/>
    <x v="0"/>
    <x v="1"/>
    <x v="1"/>
    <x v="1"/>
    <x v="20"/>
    <x v="0"/>
    <x v="6"/>
    <x v="0"/>
    <n v="29050"/>
  </r>
  <r>
    <s v="CSKU02736_3EK"/>
    <x v="0"/>
    <x v="1"/>
    <x v="0"/>
    <x v="1"/>
    <x v="1"/>
    <x v="2"/>
    <x v="20"/>
    <x v="0"/>
    <x v="7"/>
    <x v="0"/>
    <n v="32250"/>
  </r>
  <r>
    <s v="CSKU02737_3EK"/>
    <x v="0"/>
    <x v="1"/>
    <x v="0"/>
    <x v="1"/>
    <x v="3"/>
    <x v="1"/>
    <x v="20"/>
    <x v="0"/>
    <x v="6"/>
    <x v="0"/>
    <n v="30900"/>
  </r>
  <r>
    <s v="CSKU02738_3EK"/>
    <x v="0"/>
    <x v="1"/>
    <x v="0"/>
    <x v="1"/>
    <x v="3"/>
    <x v="2"/>
    <x v="20"/>
    <x v="0"/>
    <x v="7"/>
    <x v="0"/>
    <n v="35110"/>
  </r>
  <r>
    <s v="CSKU02739_3EK"/>
    <x v="0"/>
    <x v="1"/>
    <x v="0"/>
    <x v="3"/>
    <x v="1"/>
    <x v="1"/>
    <x v="20"/>
    <x v="0"/>
    <x v="6"/>
    <x v="0"/>
    <n v="33950"/>
  </r>
  <r>
    <s v="CSKU02740_3EK"/>
    <x v="0"/>
    <x v="1"/>
    <x v="0"/>
    <x v="3"/>
    <x v="1"/>
    <x v="2"/>
    <x v="20"/>
    <x v="0"/>
    <x v="7"/>
    <x v="0"/>
    <n v="37160"/>
  </r>
  <r>
    <s v="CSKU02741_3EK"/>
    <x v="0"/>
    <x v="1"/>
    <x v="0"/>
    <x v="3"/>
    <x v="3"/>
    <x v="1"/>
    <x v="20"/>
    <x v="0"/>
    <x v="6"/>
    <x v="0"/>
    <n v="36160"/>
  </r>
  <r>
    <s v="CSKU02742_3EK"/>
    <x v="0"/>
    <x v="1"/>
    <x v="0"/>
    <x v="3"/>
    <x v="3"/>
    <x v="2"/>
    <x v="20"/>
    <x v="0"/>
    <x v="7"/>
    <x v="0"/>
    <n v="40630"/>
  </r>
  <r>
    <s v="CSKU02743_3EK"/>
    <x v="0"/>
    <x v="1"/>
    <x v="0"/>
    <x v="2"/>
    <x v="1"/>
    <x v="1"/>
    <x v="20"/>
    <x v="0"/>
    <x v="6"/>
    <x v="0"/>
    <n v="38870"/>
  </r>
  <r>
    <s v="CSKU02579_3EK"/>
    <x v="0"/>
    <x v="1"/>
    <x v="1"/>
    <x v="2"/>
    <x v="3"/>
    <x v="2"/>
    <x v="11"/>
    <x v="1"/>
    <x v="7"/>
    <x v="0"/>
    <n v="32590"/>
  </r>
  <r>
    <s v="CSKU03107_3EK"/>
    <x v="0"/>
    <x v="1"/>
    <x v="1"/>
    <x v="1"/>
    <x v="1"/>
    <x v="1"/>
    <x v="13"/>
    <x v="1"/>
    <x v="6"/>
    <x v="0"/>
    <n v="27730"/>
  </r>
  <r>
    <s v="CSKU03743_3EK"/>
    <x v="0"/>
    <x v="1"/>
    <x v="1"/>
    <x v="3"/>
    <x v="3"/>
    <x v="1"/>
    <x v="19"/>
    <x v="1"/>
    <x v="6"/>
    <x v="0"/>
    <n v="34740"/>
  </r>
  <r>
    <s v="CSKU02842_3EK"/>
    <x v="0"/>
    <x v="1"/>
    <x v="1"/>
    <x v="3"/>
    <x v="1"/>
    <x v="2"/>
    <x v="12"/>
    <x v="1"/>
    <x v="7"/>
    <x v="0"/>
    <n v="35430"/>
  </r>
  <r>
    <s v="CSKU02843_3EK"/>
    <x v="0"/>
    <x v="1"/>
    <x v="1"/>
    <x v="3"/>
    <x v="3"/>
    <x v="1"/>
    <x v="12"/>
    <x v="1"/>
    <x v="6"/>
    <x v="0"/>
    <n v="34740"/>
  </r>
  <r>
    <s v="CSKU02844_3EK"/>
    <x v="0"/>
    <x v="1"/>
    <x v="1"/>
    <x v="3"/>
    <x v="3"/>
    <x v="2"/>
    <x v="12"/>
    <x v="1"/>
    <x v="7"/>
    <x v="0"/>
    <n v="38730"/>
  </r>
  <r>
    <s v="CSKU02845_3EK"/>
    <x v="0"/>
    <x v="1"/>
    <x v="1"/>
    <x v="2"/>
    <x v="1"/>
    <x v="1"/>
    <x v="12"/>
    <x v="1"/>
    <x v="6"/>
    <x v="0"/>
    <n v="37390"/>
  </r>
  <r>
    <s v="CSKU02846_3EK"/>
    <x v="0"/>
    <x v="1"/>
    <x v="1"/>
    <x v="2"/>
    <x v="1"/>
    <x v="2"/>
    <x v="12"/>
    <x v="1"/>
    <x v="7"/>
    <x v="0"/>
    <n v="40400"/>
  </r>
  <r>
    <s v="CSKU02847_3EK"/>
    <x v="0"/>
    <x v="1"/>
    <x v="1"/>
    <x v="2"/>
    <x v="3"/>
    <x v="1"/>
    <x v="12"/>
    <x v="1"/>
    <x v="6"/>
    <x v="0"/>
    <n v="39890"/>
  </r>
  <r>
    <s v="CSKU02848_3EK"/>
    <x v="0"/>
    <x v="1"/>
    <x v="1"/>
    <x v="2"/>
    <x v="3"/>
    <x v="2"/>
    <x v="12"/>
    <x v="1"/>
    <x v="7"/>
    <x v="0"/>
    <n v="44020"/>
  </r>
  <r>
    <s v="CSKU03016_3EK"/>
    <x v="0"/>
    <x v="1"/>
    <x v="0"/>
    <x v="2"/>
    <x v="3"/>
    <x v="2"/>
    <x v="21"/>
    <x v="0"/>
    <x v="7"/>
    <x v="0"/>
    <n v="46040"/>
  </r>
  <r>
    <s v="CSKU03017_3EK"/>
    <x v="0"/>
    <x v="1"/>
    <x v="1"/>
    <x v="1"/>
    <x v="1"/>
    <x v="1"/>
    <x v="21"/>
    <x v="1"/>
    <x v="6"/>
    <x v="0"/>
    <n v="27730"/>
  </r>
  <r>
    <s v="CSKU03108_3EK"/>
    <x v="0"/>
    <x v="1"/>
    <x v="1"/>
    <x v="1"/>
    <x v="1"/>
    <x v="2"/>
    <x v="13"/>
    <x v="1"/>
    <x v="7"/>
    <x v="0"/>
    <n v="30600"/>
  </r>
  <r>
    <s v="CSKU03109_3EK"/>
    <x v="0"/>
    <x v="1"/>
    <x v="1"/>
    <x v="1"/>
    <x v="3"/>
    <x v="1"/>
    <x v="13"/>
    <x v="1"/>
    <x v="6"/>
    <x v="0"/>
    <n v="29550"/>
  </r>
  <r>
    <s v="CSKU03110_3EK"/>
    <x v="0"/>
    <x v="1"/>
    <x v="1"/>
    <x v="1"/>
    <x v="3"/>
    <x v="2"/>
    <x v="13"/>
    <x v="1"/>
    <x v="7"/>
    <x v="0"/>
    <n v="33320"/>
  </r>
  <r>
    <s v="CSKU03111_3EK"/>
    <x v="0"/>
    <x v="1"/>
    <x v="1"/>
    <x v="3"/>
    <x v="1"/>
    <x v="1"/>
    <x v="13"/>
    <x v="1"/>
    <x v="6"/>
    <x v="0"/>
    <n v="32560"/>
  </r>
  <r>
    <s v="CSKU03112_3EK"/>
    <x v="0"/>
    <x v="1"/>
    <x v="1"/>
    <x v="3"/>
    <x v="1"/>
    <x v="2"/>
    <x v="13"/>
    <x v="1"/>
    <x v="7"/>
    <x v="0"/>
    <n v="35430"/>
  </r>
  <r>
    <s v="CSKU03113_3EK"/>
    <x v="0"/>
    <x v="1"/>
    <x v="1"/>
    <x v="3"/>
    <x v="3"/>
    <x v="1"/>
    <x v="13"/>
    <x v="1"/>
    <x v="6"/>
    <x v="0"/>
    <n v="34740"/>
  </r>
  <r>
    <s v="CSKU03114_3EK"/>
    <x v="0"/>
    <x v="1"/>
    <x v="1"/>
    <x v="3"/>
    <x v="3"/>
    <x v="2"/>
    <x v="13"/>
    <x v="1"/>
    <x v="7"/>
    <x v="0"/>
    <n v="38730"/>
  </r>
  <r>
    <s v="CSKU03115_3EK"/>
    <x v="0"/>
    <x v="1"/>
    <x v="1"/>
    <x v="2"/>
    <x v="1"/>
    <x v="1"/>
    <x v="13"/>
    <x v="1"/>
    <x v="6"/>
    <x v="0"/>
    <n v="37390"/>
  </r>
  <r>
    <s v="CSKU03116_3EK"/>
    <x v="0"/>
    <x v="1"/>
    <x v="1"/>
    <x v="2"/>
    <x v="1"/>
    <x v="2"/>
    <x v="13"/>
    <x v="1"/>
    <x v="7"/>
    <x v="0"/>
    <n v="40400"/>
  </r>
  <r>
    <s v="CSKU03117_3EK"/>
    <x v="0"/>
    <x v="1"/>
    <x v="1"/>
    <x v="2"/>
    <x v="3"/>
    <x v="1"/>
    <x v="13"/>
    <x v="1"/>
    <x v="6"/>
    <x v="0"/>
    <n v="39890"/>
  </r>
  <r>
    <s v="CSKU03744_3EK"/>
    <x v="0"/>
    <x v="1"/>
    <x v="1"/>
    <x v="3"/>
    <x v="3"/>
    <x v="2"/>
    <x v="19"/>
    <x v="1"/>
    <x v="7"/>
    <x v="0"/>
    <n v="38730"/>
  </r>
  <r>
    <s v="CSKU03745_3EK"/>
    <x v="0"/>
    <x v="1"/>
    <x v="1"/>
    <x v="2"/>
    <x v="1"/>
    <x v="1"/>
    <x v="19"/>
    <x v="1"/>
    <x v="6"/>
    <x v="0"/>
    <n v="37390"/>
  </r>
  <r>
    <s v="CSKU03746_3EK"/>
    <x v="0"/>
    <x v="1"/>
    <x v="1"/>
    <x v="2"/>
    <x v="1"/>
    <x v="2"/>
    <x v="19"/>
    <x v="1"/>
    <x v="7"/>
    <x v="0"/>
    <n v="40400"/>
  </r>
  <r>
    <s v="CSKU03747_3EK"/>
    <x v="0"/>
    <x v="1"/>
    <x v="1"/>
    <x v="2"/>
    <x v="3"/>
    <x v="1"/>
    <x v="19"/>
    <x v="1"/>
    <x v="6"/>
    <x v="0"/>
    <n v="39890"/>
  </r>
  <r>
    <s v="CSKU03748_3EK"/>
    <x v="0"/>
    <x v="1"/>
    <x v="1"/>
    <x v="2"/>
    <x v="3"/>
    <x v="2"/>
    <x v="19"/>
    <x v="1"/>
    <x v="7"/>
    <x v="0"/>
    <n v="44020"/>
  </r>
  <r>
    <s v="CSKU03365_3EK"/>
    <x v="0"/>
    <x v="1"/>
    <x v="0"/>
    <x v="1"/>
    <x v="1"/>
    <x v="1"/>
    <x v="22"/>
    <x v="0"/>
    <x v="6"/>
    <x v="0"/>
    <n v="29050"/>
  </r>
  <r>
    <s v="CSKU03366_3EK"/>
    <x v="0"/>
    <x v="1"/>
    <x v="0"/>
    <x v="1"/>
    <x v="1"/>
    <x v="2"/>
    <x v="22"/>
    <x v="0"/>
    <x v="7"/>
    <x v="0"/>
    <n v="32250"/>
  </r>
  <r>
    <s v="CSKU03367_3EK"/>
    <x v="0"/>
    <x v="1"/>
    <x v="0"/>
    <x v="1"/>
    <x v="3"/>
    <x v="1"/>
    <x v="22"/>
    <x v="0"/>
    <x v="6"/>
    <x v="0"/>
    <n v="30900"/>
  </r>
  <r>
    <s v="CSKU03368_3EK"/>
    <x v="0"/>
    <x v="1"/>
    <x v="0"/>
    <x v="1"/>
    <x v="3"/>
    <x v="2"/>
    <x v="22"/>
    <x v="0"/>
    <x v="7"/>
    <x v="0"/>
    <n v="35110"/>
  </r>
  <r>
    <s v="CSKU03369_3EK"/>
    <x v="0"/>
    <x v="1"/>
    <x v="0"/>
    <x v="3"/>
    <x v="1"/>
    <x v="1"/>
    <x v="22"/>
    <x v="0"/>
    <x v="6"/>
    <x v="0"/>
    <n v="33950"/>
  </r>
  <r>
    <s v="CSKU03370_3EK"/>
    <x v="0"/>
    <x v="1"/>
    <x v="0"/>
    <x v="3"/>
    <x v="1"/>
    <x v="2"/>
    <x v="22"/>
    <x v="0"/>
    <x v="7"/>
    <x v="0"/>
    <n v="37160"/>
  </r>
  <r>
    <s v="CSKU03371_3EK"/>
    <x v="0"/>
    <x v="1"/>
    <x v="0"/>
    <x v="3"/>
    <x v="3"/>
    <x v="1"/>
    <x v="22"/>
    <x v="0"/>
    <x v="6"/>
    <x v="0"/>
    <n v="36160"/>
  </r>
  <r>
    <s v="CSKU03372_3EK"/>
    <x v="0"/>
    <x v="1"/>
    <x v="0"/>
    <x v="3"/>
    <x v="3"/>
    <x v="2"/>
    <x v="22"/>
    <x v="0"/>
    <x v="7"/>
    <x v="0"/>
    <n v="40630"/>
  </r>
  <r>
    <s v="CSKU03373_3EK"/>
    <x v="0"/>
    <x v="1"/>
    <x v="0"/>
    <x v="2"/>
    <x v="1"/>
    <x v="1"/>
    <x v="22"/>
    <x v="0"/>
    <x v="6"/>
    <x v="0"/>
    <n v="38870"/>
  </r>
  <r>
    <s v="CSKU03118_3EK"/>
    <x v="0"/>
    <x v="1"/>
    <x v="1"/>
    <x v="2"/>
    <x v="3"/>
    <x v="2"/>
    <x v="13"/>
    <x v="1"/>
    <x v="7"/>
    <x v="0"/>
    <n v="44020"/>
  </r>
  <r>
    <s v="CSKU02122_2EK"/>
    <x v="0"/>
    <x v="0"/>
    <x v="1"/>
    <x v="6"/>
    <x v="1"/>
    <x v="1"/>
    <x v="9"/>
    <x v="1"/>
    <x v="4"/>
    <x v="0"/>
    <n v="22780"/>
  </r>
  <r>
    <s v="CSKU02123_2EK"/>
    <x v="0"/>
    <x v="0"/>
    <x v="1"/>
    <x v="6"/>
    <x v="1"/>
    <x v="2"/>
    <x v="9"/>
    <x v="1"/>
    <x v="5"/>
    <x v="0"/>
    <n v="25030"/>
  </r>
  <r>
    <s v="CSKU02124_2EK"/>
    <x v="0"/>
    <x v="0"/>
    <x v="1"/>
    <x v="6"/>
    <x v="3"/>
    <x v="1"/>
    <x v="9"/>
    <x v="1"/>
    <x v="4"/>
    <x v="0"/>
    <n v="24190"/>
  </r>
  <r>
    <s v="CSKU02125_2EK"/>
    <x v="0"/>
    <x v="0"/>
    <x v="1"/>
    <x v="6"/>
    <x v="3"/>
    <x v="2"/>
    <x v="9"/>
    <x v="1"/>
    <x v="5"/>
    <x v="0"/>
    <n v="27270"/>
  </r>
  <r>
    <s v="CSKU02126_2EK"/>
    <x v="0"/>
    <x v="0"/>
    <x v="1"/>
    <x v="5"/>
    <x v="1"/>
    <x v="1"/>
    <x v="9"/>
    <x v="1"/>
    <x v="4"/>
    <x v="0"/>
    <n v="25020"/>
  </r>
  <r>
    <s v="CSKU02127_2EK"/>
    <x v="0"/>
    <x v="0"/>
    <x v="1"/>
    <x v="5"/>
    <x v="1"/>
    <x v="2"/>
    <x v="9"/>
    <x v="1"/>
    <x v="5"/>
    <x v="0"/>
    <n v="27450"/>
  </r>
  <r>
    <s v="CSKU02128_2EK"/>
    <x v="0"/>
    <x v="0"/>
    <x v="1"/>
    <x v="5"/>
    <x v="3"/>
    <x v="1"/>
    <x v="9"/>
    <x v="1"/>
    <x v="4"/>
    <x v="0"/>
    <n v="26610"/>
  </r>
  <r>
    <s v="CSKU02129_2EK"/>
    <x v="0"/>
    <x v="0"/>
    <x v="1"/>
    <x v="5"/>
    <x v="3"/>
    <x v="2"/>
    <x v="9"/>
    <x v="1"/>
    <x v="5"/>
    <x v="0"/>
    <n v="29880"/>
  </r>
  <r>
    <s v="CSKU02386_3EK"/>
    <x v="0"/>
    <x v="1"/>
    <x v="0"/>
    <x v="2"/>
    <x v="1"/>
    <x v="2"/>
    <x v="10"/>
    <x v="0"/>
    <x v="7"/>
    <x v="0"/>
    <n v="34440"/>
  </r>
  <r>
    <s v="CSKU02387_3EK"/>
    <x v="0"/>
    <x v="1"/>
    <x v="0"/>
    <x v="2"/>
    <x v="3"/>
    <x v="1"/>
    <x v="10"/>
    <x v="0"/>
    <x v="6"/>
    <x v="0"/>
    <n v="32670"/>
  </r>
  <r>
    <s v="CSKU02388_3EK"/>
    <x v="0"/>
    <x v="1"/>
    <x v="0"/>
    <x v="2"/>
    <x v="3"/>
    <x v="2"/>
    <x v="10"/>
    <x v="0"/>
    <x v="7"/>
    <x v="0"/>
    <n v="37310"/>
  </r>
  <r>
    <s v="CSKU02389_3EK"/>
    <x v="0"/>
    <x v="1"/>
    <x v="1"/>
    <x v="1"/>
    <x v="1"/>
    <x v="1"/>
    <x v="10"/>
    <x v="1"/>
    <x v="6"/>
    <x v="0"/>
    <n v="23080"/>
  </r>
  <r>
    <s v="CSKU02390_3EK"/>
    <x v="0"/>
    <x v="1"/>
    <x v="1"/>
    <x v="1"/>
    <x v="1"/>
    <x v="2"/>
    <x v="10"/>
    <x v="1"/>
    <x v="7"/>
    <x v="0"/>
    <n v="25950"/>
  </r>
  <r>
    <s v="CSKU02391_3EK"/>
    <x v="0"/>
    <x v="1"/>
    <x v="1"/>
    <x v="1"/>
    <x v="3"/>
    <x v="1"/>
    <x v="10"/>
    <x v="1"/>
    <x v="6"/>
    <x v="0"/>
    <n v="24740"/>
  </r>
  <r>
    <s v="CSKU02392_3EK"/>
    <x v="0"/>
    <x v="1"/>
    <x v="1"/>
    <x v="1"/>
    <x v="3"/>
    <x v="2"/>
    <x v="10"/>
    <x v="1"/>
    <x v="7"/>
    <x v="0"/>
    <n v="28510"/>
  </r>
  <r>
    <s v="CSKU02393_3EK"/>
    <x v="0"/>
    <x v="1"/>
    <x v="1"/>
    <x v="3"/>
    <x v="1"/>
    <x v="1"/>
    <x v="10"/>
    <x v="1"/>
    <x v="6"/>
    <x v="0"/>
    <n v="26080"/>
  </r>
  <r>
    <s v="CSKU02394_3EK"/>
    <x v="0"/>
    <x v="1"/>
    <x v="1"/>
    <x v="3"/>
    <x v="1"/>
    <x v="2"/>
    <x v="10"/>
    <x v="1"/>
    <x v="7"/>
    <x v="0"/>
    <n v="28950"/>
  </r>
  <r>
    <s v="CSKU02395_3EK"/>
    <x v="0"/>
    <x v="1"/>
    <x v="1"/>
    <x v="3"/>
    <x v="3"/>
    <x v="1"/>
    <x v="10"/>
    <x v="1"/>
    <x v="6"/>
    <x v="0"/>
    <n v="27700"/>
  </r>
  <r>
    <s v="CSKU02396_3EK"/>
    <x v="0"/>
    <x v="1"/>
    <x v="1"/>
    <x v="3"/>
    <x v="3"/>
    <x v="2"/>
    <x v="10"/>
    <x v="1"/>
    <x v="7"/>
    <x v="0"/>
    <n v="31690"/>
  </r>
  <r>
    <s v="CSKU02397_3EK"/>
    <x v="0"/>
    <x v="1"/>
    <x v="1"/>
    <x v="2"/>
    <x v="1"/>
    <x v="1"/>
    <x v="10"/>
    <x v="1"/>
    <x v="6"/>
    <x v="0"/>
    <n v="29580"/>
  </r>
  <r>
    <s v="CSKU02744_3EK"/>
    <x v="0"/>
    <x v="1"/>
    <x v="0"/>
    <x v="2"/>
    <x v="1"/>
    <x v="2"/>
    <x v="20"/>
    <x v="0"/>
    <x v="7"/>
    <x v="0"/>
    <n v="42250"/>
  </r>
  <r>
    <s v="CSKU03374_3EK"/>
    <x v="0"/>
    <x v="1"/>
    <x v="0"/>
    <x v="2"/>
    <x v="1"/>
    <x v="2"/>
    <x v="22"/>
    <x v="0"/>
    <x v="7"/>
    <x v="0"/>
    <n v="42250"/>
  </r>
  <r>
    <s v="CSKU02745_3EK"/>
    <x v="0"/>
    <x v="1"/>
    <x v="0"/>
    <x v="2"/>
    <x v="3"/>
    <x v="1"/>
    <x v="20"/>
    <x v="0"/>
    <x v="6"/>
    <x v="0"/>
    <n v="41400"/>
  </r>
  <r>
    <s v="CSKU02746_3EK"/>
    <x v="0"/>
    <x v="1"/>
    <x v="0"/>
    <x v="2"/>
    <x v="3"/>
    <x v="2"/>
    <x v="20"/>
    <x v="0"/>
    <x v="7"/>
    <x v="0"/>
    <n v="46040"/>
  </r>
  <r>
    <s v="CSKU02747_3EK"/>
    <x v="0"/>
    <x v="1"/>
    <x v="1"/>
    <x v="1"/>
    <x v="1"/>
    <x v="1"/>
    <x v="20"/>
    <x v="1"/>
    <x v="6"/>
    <x v="0"/>
    <n v="27730"/>
  </r>
  <r>
    <s v="CSKU02748_3EK"/>
    <x v="0"/>
    <x v="1"/>
    <x v="1"/>
    <x v="1"/>
    <x v="1"/>
    <x v="2"/>
    <x v="20"/>
    <x v="1"/>
    <x v="7"/>
    <x v="0"/>
    <n v="30600"/>
  </r>
  <r>
    <s v="CSKU02749_3EK"/>
    <x v="0"/>
    <x v="1"/>
    <x v="1"/>
    <x v="1"/>
    <x v="3"/>
    <x v="1"/>
    <x v="20"/>
    <x v="1"/>
    <x v="6"/>
    <x v="0"/>
    <n v="29550"/>
  </r>
  <r>
    <s v="CSKU02750_3EK"/>
    <x v="0"/>
    <x v="1"/>
    <x v="1"/>
    <x v="1"/>
    <x v="3"/>
    <x v="2"/>
    <x v="20"/>
    <x v="1"/>
    <x v="7"/>
    <x v="0"/>
    <n v="33320"/>
  </r>
  <r>
    <s v="CSKU02751_3EK"/>
    <x v="0"/>
    <x v="1"/>
    <x v="1"/>
    <x v="3"/>
    <x v="1"/>
    <x v="1"/>
    <x v="20"/>
    <x v="1"/>
    <x v="6"/>
    <x v="0"/>
    <n v="32560"/>
  </r>
  <r>
    <s v="CSKU02752_3EK"/>
    <x v="0"/>
    <x v="1"/>
    <x v="1"/>
    <x v="3"/>
    <x v="1"/>
    <x v="2"/>
    <x v="20"/>
    <x v="1"/>
    <x v="7"/>
    <x v="0"/>
    <n v="35430"/>
  </r>
  <r>
    <s v="CSKU02753_3EK"/>
    <x v="0"/>
    <x v="1"/>
    <x v="1"/>
    <x v="3"/>
    <x v="3"/>
    <x v="1"/>
    <x v="20"/>
    <x v="1"/>
    <x v="6"/>
    <x v="0"/>
    <n v="34740"/>
  </r>
  <r>
    <s v="CSKU02754_3EK"/>
    <x v="0"/>
    <x v="1"/>
    <x v="1"/>
    <x v="3"/>
    <x v="3"/>
    <x v="2"/>
    <x v="20"/>
    <x v="1"/>
    <x v="7"/>
    <x v="0"/>
    <n v="38730"/>
  </r>
  <r>
    <s v="CSKU03005_3EK"/>
    <x v="0"/>
    <x v="1"/>
    <x v="0"/>
    <x v="1"/>
    <x v="1"/>
    <x v="1"/>
    <x v="21"/>
    <x v="0"/>
    <x v="6"/>
    <x v="0"/>
    <n v="29050"/>
  </r>
  <r>
    <s v="CSKU03375_3EK"/>
    <x v="0"/>
    <x v="1"/>
    <x v="0"/>
    <x v="2"/>
    <x v="3"/>
    <x v="1"/>
    <x v="22"/>
    <x v="0"/>
    <x v="6"/>
    <x v="0"/>
    <n v="41400"/>
  </r>
  <r>
    <s v="CSKU03376_3EK"/>
    <x v="0"/>
    <x v="1"/>
    <x v="0"/>
    <x v="2"/>
    <x v="3"/>
    <x v="2"/>
    <x v="22"/>
    <x v="0"/>
    <x v="7"/>
    <x v="0"/>
    <n v="46040"/>
  </r>
  <r>
    <s v="CSKU03377_3EK"/>
    <x v="0"/>
    <x v="1"/>
    <x v="1"/>
    <x v="1"/>
    <x v="1"/>
    <x v="1"/>
    <x v="22"/>
    <x v="1"/>
    <x v="6"/>
    <x v="0"/>
    <n v="27730"/>
  </r>
  <r>
    <s v="CSKU03378_3EK"/>
    <x v="0"/>
    <x v="1"/>
    <x v="1"/>
    <x v="1"/>
    <x v="1"/>
    <x v="2"/>
    <x v="22"/>
    <x v="1"/>
    <x v="7"/>
    <x v="0"/>
    <n v="30600"/>
  </r>
  <r>
    <s v="CSKU03379_3EK"/>
    <x v="0"/>
    <x v="1"/>
    <x v="1"/>
    <x v="1"/>
    <x v="3"/>
    <x v="1"/>
    <x v="22"/>
    <x v="1"/>
    <x v="6"/>
    <x v="0"/>
    <n v="29550"/>
  </r>
  <r>
    <s v="CSKU03380_3EK"/>
    <x v="0"/>
    <x v="1"/>
    <x v="1"/>
    <x v="1"/>
    <x v="3"/>
    <x v="2"/>
    <x v="22"/>
    <x v="1"/>
    <x v="7"/>
    <x v="0"/>
    <n v="33320"/>
  </r>
  <r>
    <s v="CSKU03381_3EK"/>
    <x v="0"/>
    <x v="1"/>
    <x v="1"/>
    <x v="3"/>
    <x v="1"/>
    <x v="1"/>
    <x v="22"/>
    <x v="1"/>
    <x v="6"/>
    <x v="0"/>
    <n v="32560"/>
  </r>
  <r>
    <s v="CSKU03382_3EK"/>
    <x v="0"/>
    <x v="1"/>
    <x v="1"/>
    <x v="3"/>
    <x v="1"/>
    <x v="2"/>
    <x v="22"/>
    <x v="1"/>
    <x v="7"/>
    <x v="0"/>
    <n v="35430"/>
  </r>
  <r>
    <s v="CSKU03383_3EK"/>
    <x v="0"/>
    <x v="1"/>
    <x v="1"/>
    <x v="3"/>
    <x v="3"/>
    <x v="1"/>
    <x v="22"/>
    <x v="1"/>
    <x v="6"/>
    <x v="0"/>
    <n v="34740"/>
  </r>
  <r>
    <s v="CSKU03384_3EK"/>
    <x v="0"/>
    <x v="1"/>
    <x v="1"/>
    <x v="3"/>
    <x v="3"/>
    <x v="2"/>
    <x v="22"/>
    <x v="1"/>
    <x v="7"/>
    <x v="0"/>
    <n v="38730"/>
  </r>
  <r>
    <s v="CSKU03385_3EK"/>
    <x v="0"/>
    <x v="1"/>
    <x v="1"/>
    <x v="2"/>
    <x v="1"/>
    <x v="1"/>
    <x v="22"/>
    <x v="1"/>
    <x v="6"/>
    <x v="0"/>
    <n v="37390"/>
  </r>
  <r>
    <s v="CSKU03386_3EK"/>
    <x v="0"/>
    <x v="1"/>
    <x v="1"/>
    <x v="2"/>
    <x v="1"/>
    <x v="2"/>
    <x v="22"/>
    <x v="1"/>
    <x v="7"/>
    <x v="0"/>
    <n v="40400"/>
  </r>
  <r>
    <s v="CSKU03387_3EK"/>
    <x v="0"/>
    <x v="1"/>
    <x v="1"/>
    <x v="2"/>
    <x v="3"/>
    <x v="1"/>
    <x v="22"/>
    <x v="1"/>
    <x v="6"/>
    <x v="0"/>
    <n v="39890"/>
  </r>
  <r>
    <s v="CSKU03388_3EK"/>
    <x v="0"/>
    <x v="1"/>
    <x v="1"/>
    <x v="2"/>
    <x v="3"/>
    <x v="2"/>
    <x v="22"/>
    <x v="1"/>
    <x v="7"/>
    <x v="0"/>
    <n v="44020"/>
  </r>
  <r>
    <s v="CSKU02398_3EK"/>
    <x v="0"/>
    <x v="1"/>
    <x v="1"/>
    <x v="2"/>
    <x v="1"/>
    <x v="2"/>
    <x v="10"/>
    <x v="1"/>
    <x v="7"/>
    <x v="0"/>
    <n v="32590"/>
  </r>
  <r>
    <s v="CSKU02755_3EK"/>
    <x v="0"/>
    <x v="1"/>
    <x v="1"/>
    <x v="2"/>
    <x v="1"/>
    <x v="1"/>
    <x v="20"/>
    <x v="1"/>
    <x v="6"/>
    <x v="0"/>
    <n v="37390"/>
  </r>
  <r>
    <s v="CSKU03006_3EK"/>
    <x v="0"/>
    <x v="1"/>
    <x v="0"/>
    <x v="1"/>
    <x v="1"/>
    <x v="2"/>
    <x v="21"/>
    <x v="0"/>
    <x v="7"/>
    <x v="0"/>
    <n v="32250"/>
  </r>
  <r>
    <s v="CSKU03007_3EK"/>
    <x v="0"/>
    <x v="1"/>
    <x v="0"/>
    <x v="1"/>
    <x v="3"/>
    <x v="1"/>
    <x v="21"/>
    <x v="0"/>
    <x v="6"/>
    <x v="0"/>
    <n v="30900"/>
  </r>
  <r>
    <s v="CSKU03008_3EK"/>
    <x v="0"/>
    <x v="1"/>
    <x v="0"/>
    <x v="1"/>
    <x v="3"/>
    <x v="2"/>
    <x v="21"/>
    <x v="0"/>
    <x v="7"/>
    <x v="0"/>
    <n v="35110"/>
  </r>
  <r>
    <s v="CSKU03009_3EK"/>
    <x v="0"/>
    <x v="1"/>
    <x v="0"/>
    <x v="3"/>
    <x v="1"/>
    <x v="1"/>
    <x v="21"/>
    <x v="0"/>
    <x v="6"/>
    <x v="0"/>
    <n v="33950"/>
  </r>
  <r>
    <s v="CSKU03010_3EK"/>
    <x v="0"/>
    <x v="1"/>
    <x v="0"/>
    <x v="3"/>
    <x v="1"/>
    <x v="2"/>
    <x v="21"/>
    <x v="0"/>
    <x v="7"/>
    <x v="0"/>
    <n v="37160"/>
  </r>
  <r>
    <s v="CSKU03011_3EK"/>
    <x v="0"/>
    <x v="1"/>
    <x v="0"/>
    <x v="3"/>
    <x v="3"/>
    <x v="1"/>
    <x v="21"/>
    <x v="0"/>
    <x v="6"/>
    <x v="0"/>
    <n v="36160"/>
  </r>
  <r>
    <s v="CSKU03012_3EK"/>
    <x v="0"/>
    <x v="1"/>
    <x v="0"/>
    <x v="3"/>
    <x v="3"/>
    <x v="2"/>
    <x v="21"/>
    <x v="0"/>
    <x v="7"/>
    <x v="0"/>
    <n v="40630"/>
  </r>
  <r>
    <s v="CSKU03013_3EK"/>
    <x v="0"/>
    <x v="1"/>
    <x v="0"/>
    <x v="2"/>
    <x v="1"/>
    <x v="1"/>
    <x v="21"/>
    <x v="0"/>
    <x v="6"/>
    <x v="0"/>
    <n v="38870"/>
  </r>
  <r>
    <s v="CSKU03014_3EK"/>
    <x v="0"/>
    <x v="1"/>
    <x v="0"/>
    <x v="2"/>
    <x v="1"/>
    <x v="2"/>
    <x v="21"/>
    <x v="0"/>
    <x v="7"/>
    <x v="0"/>
    <n v="42250"/>
  </r>
  <r>
    <s v="CSKU03015_3EK"/>
    <x v="0"/>
    <x v="1"/>
    <x v="0"/>
    <x v="2"/>
    <x v="3"/>
    <x v="1"/>
    <x v="21"/>
    <x v="0"/>
    <x v="6"/>
    <x v="0"/>
    <n v="41400"/>
  </r>
  <r>
    <s v="CSKU01936_2EK"/>
    <x v="0"/>
    <x v="0"/>
    <x v="0"/>
    <x v="5"/>
    <x v="3"/>
    <x v="1"/>
    <x v="23"/>
    <x v="0"/>
    <x v="4"/>
    <x v="0"/>
    <n v="27800"/>
  </r>
  <r>
    <s v="CSKU01937_2EK"/>
    <x v="0"/>
    <x v="0"/>
    <x v="0"/>
    <x v="5"/>
    <x v="3"/>
    <x v="2"/>
    <x v="23"/>
    <x v="0"/>
    <x v="5"/>
    <x v="0"/>
    <n v="31430"/>
  </r>
  <r>
    <s v="CSKU02016_2EK"/>
    <x v="0"/>
    <x v="0"/>
    <x v="0"/>
    <x v="4"/>
    <x v="1"/>
    <x v="1"/>
    <x v="24"/>
    <x v="0"/>
    <x v="4"/>
    <x v="0"/>
    <n v="20860"/>
  </r>
  <r>
    <s v="CSKU02017_2EK"/>
    <x v="0"/>
    <x v="0"/>
    <x v="0"/>
    <x v="4"/>
    <x v="1"/>
    <x v="2"/>
    <x v="24"/>
    <x v="0"/>
    <x v="5"/>
    <x v="0"/>
    <n v="23140"/>
  </r>
  <r>
    <s v="CSKU02756_3EK"/>
    <x v="0"/>
    <x v="1"/>
    <x v="1"/>
    <x v="2"/>
    <x v="1"/>
    <x v="2"/>
    <x v="20"/>
    <x v="1"/>
    <x v="7"/>
    <x v="0"/>
    <n v="40400"/>
  </r>
  <r>
    <s v="CSKU02757_3EK"/>
    <x v="0"/>
    <x v="1"/>
    <x v="1"/>
    <x v="2"/>
    <x v="3"/>
    <x v="1"/>
    <x v="20"/>
    <x v="1"/>
    <x v="6"/>
    <x v="0"/>
    <n v="39890"/>
  </r>
  <r>
    <s v="CSKU02758_3EK"/>
    <x v="0"/>
    <x v="1"/>
    <x v="1"/>
    <x v="2"/>
    <x v="3"/>
    <x v="2"/>
    <x v="20"/>
    <x v="1"/>
    <x v="7"/>
    <x v="0"/>
    <n v="44020"/>
  </r>
  <r>
    <s v="CSKU02018_2EK"/>
    <x v="0"/>
    <x v="0"/>
    <x v="0"/>
    <x v="4"/>
    <x v="3"/>
    <x v="1"/>
    <x v="24"/>
    <x v="0"/>
    <x v="4"/>
    <x v="0"/>
    <n v="22570"/>
  </r>
  <r>
    <s v="CSKU02019_2EK"/>
    <x v="0"/>
    <x v="0"/>
    <x v="0"/>
    <x v="4"/>
    <x v="3"/>
    <x v="2"/>
    <x v="24"/>
    <x v="0"/>
    <x v="5"/>
    <x v="0"/>
    <n v="25190"/>
  </r>
  <r>
    <s v="CSKU02020_2EK"/>
    <x v="0"/>
    <x v="0"/>
    <x v="0"/>
    <x v="6"/>
    <x v="1"/>
    <x v="1"/>
    <x v="24"/>
    <x v="0"/>
    <x v="4"/>
    <x v="0"/>
    <n v="23870"/>
  </r>
  <r>
    <s v="CSKU02021_2EK"/>
    <x v="0"/>
    <x v="0"/>
    <x v="0"/>
    <x v="6"/>
    <x v="1"/>
    <x v="2"/>
    <x v="24"/>
    <x v="0"/>
    <x v="5"/>
    <x v="0"/>
    <n v="26390"/>
  </r>
  <r>
    <s v="CSKU02022_2EK"/>
    <x v="0"/>
    <x v="0"/>
    <x v="0"/>
    <x v="6"/>
    <x v="3"/>
    <x v="1"/>
    <x v="24"/>
    <x v="0"/>
    <x v="4"/>
    <x v="0"/>
    <n v="25300"/>
  </r>
  <r>
    <s v="CSKU02023_2EK"/>
    <x v="0"/>
    <x v="0"/>
    <x v="0"/>
    <x v="6"/>
    <x v="3"/>
    <x v="2"/>
    <x v="24"/>
    <x v="0"/>
    <x v="5"/>
    <x v="0"/>
    <n v="28760"/>
  </r>
  <r>
    <s v="CSKU02024_2EK"/>
    <x v="0"/>
    <x v="0"/>
    <x v="0"/>
    <x v="5"/>
    <x v="1"/>
    <x v="1"/>
    <x v="24"/>
    <x v="0"/>
    <x v="4"/>
    <x v="0"/>
    <n v="26180"/>
  </r>
  <r>
    <s v="CSKU02025_2EK"/>
    <x v="0"/>
    <x v="0"/>
    <x v="0"/>
    <x v="5"/>
    <x v="1"/>
    <x v="2"/>
    <x v="24"/>
    <x v="0"/>
    <x v="5"/>
    <x v="0"/>
    <n v="28890"/>
  </r>
  <r>
    <s v="CSKU02026_2EK"/>
    <x v="0"/>
    <x v="0"/>
    <x v="0"/>
    <x v="5"/>
    <x v="3"/>
    <x v="1"/>
    <x v="24"/>
    <x v="0"/>
    <x v="4"/>
    <x v="0"/>
    <n v="27800"/>
  </r>
  <r>
    <s v="CSKU02027_2EK"/>
    <x v="0"/>
    <x v="0"/>
    <x v="0"/>
    <x v="5"/>
    <x v="3"/>
    <x v="2"/>
    <x v="24"/>
    <x v="0"/>
    <x v="5"/>
    <x v="0"/>
    <n v="31430"/>
  </r>
  <r>
    <s v="CSKU02028_2EK"/>
    <x v="0"/>
    <x v="0"/>
    <x v="1"/>
    <x v="4"/>
    <x v="1"/>
    <x v="1"/>
    <x v="24"/>
    <x v="1"/>
    <x v="4"/>
    <x v="0"/>
    <n v="19840"/>
  </r>
  <r>
    <s v="CSKU02029_2EK"/>
    <x v="0"/>
    <x v="0"/>
    <x v="1"/>
    <x v="4"/>
    <x v="1"/>
    <x v="2"/>
    <x v="24"/>
    <x v="1"/>
    <x v="5"/>
    <x v="0"/>
    <n v="21880"/>
  </r>
  <r>
    <s v="CSKU02286_2EK"/>
    <x v="0"/>
    <x v="0"/>
    <x v="0"/>
    <x v="4"/>
    <x v="1"/>
    <x v="1"/>
    <x v="25"/>
    <x v="0"/>
    <x v="4"/>
    <x v="0"/>
    <n v="9540"/>
  </r>
  <r>
    <s v="CSKU02287_2EK"/>
    <x v="0"/>
    <x v="0"/>
    <x v="0"/>
    <x v="4"/>
    <x v="1"/>
    <x v="2"/>
    <x v="25"/>
    <x v="0"/>
    <x v="5"/>
    <x v="0"/>
    <n v="11820"/>
  </r>
  <r>
    <s v="CSKU02288_2EK"/>
    <x v="0"/>
    <x v="0"/>
    <x v="0"/>
    <x v="4"/>
    <x v="3"/>
    <x v="1"/>
    <x v="25"/>
    <x v="0"/>
    <x v="4"/>
    <x v="0"/>
    <n v="10200"/>
  </r>
  <r>
    <s v="CSKU02289_2EK"/>
    <x v="0"/>
    <x v="0"/>
    <x v="0"/>
    <x v="4"/>
    <x v="3"/>
    <x v="2"/>
    <x v="25"/>
    <x v="0"/>
    <x v="5"/>
    <x v="0"/>
    <n v="12820"/>
  </r>
  <r>
    <s v="CSKU02290_2EK"/>
    <x v="0"/>
    <x v="0"/>
    <x v="0"/>
    <x v="6"/>
    <x v="1"/>
    <x v="1"/>
    <x v="25"/>
    <x v="0"/>
    <x v="4"/>
    <x v="0"/>
    <n v="10140"/>
  </r>
  <r>
    <s v="CSKU02291_2EK"/>
    <x v="0"/>
    <x v="0"/>
    <x v="0"/>
    <x v="6"/>
    <x v="1"/>
    <x v="2"/>
    <x v="25"/>
    <x v="0"/>
    <x v="5"/>
    <x v="0"/>
    <n v="12660"/>
  </r>
  <r>
    <s v="CSKU02292_2EK"/>
    <x v="0"/>
    <x v="0"/>
    <x v="0"/>
    <x v="6"/>
    <x v="3"/>
    <x v="1"/>
    <x v="25"/>
    <x v="0"/>
    <x v="4"/>
    <x v="0"/>
    <n v="10380"/>
  </r>
  <r>
    <s v="CSKU02293_2EK"/>
    <x v="0"/>
    <x v="0"/>
    <x v="0"/>
    <x v="6"/>
    <x v="3"/>
    <x v="2"/>
    <x v="25"/>
    <x v="0"/>
    <x v="5"/>
    <x v="0"/>
    <n v="13840"/>
  </r>
  <r>
    <s v="CSKU02294_2EK"/>
    <x v="0"/>
    <x v="0"/>
    <x v="0"/>
    <x v="5"/>
    <x v="1"/>
    <x v="1"/>
    <x v="25"/>
    <x v="0"/>
    <x v="4"/>
    <x v="0"/>
    <n v="10790"/>
  </r>
  <r>
    <s v="CSKU02030_2EK"/>
    <x v="0"/>
    <x v="0"/>
    <x v="1"/>
    <x v="4"/>
    <x v="3"/>
    <x v="1"/>
    <x v="24"/>
    <x v="1"/>
    <x v="4"/>
    <x v="0"/>
    <n v="21470"/>
  </r>
  <r>
    <s v="CSKU02295_2EK"/>
    <x v="0"/>
    <x v="0"/>
    <x v="0"/>
    <x v="5"/>
    <x v="1"/>
    <x v="2"/>
    <x v="25"/>
    <x v="0"/>
    <x v="5"/>
    <x v="0"/>
    <n v="13500"/>
  </r>
  <r>
    <s v="CSKU01746_2EK"/>
    <x v="0"/>
    <x v="0"/>
    <x v="0"/>
    <x v="4"/>
    <x v="1"/>
    <x v="1"/>
    <x v="26"/>
    <x v="0"/>
    <x v="4"/>
    <x v="0"/>
    <n v="20860"/>
  </r>
  <r>
    <s v="CSKU01747_2EK"/>
    <x v="0"/>
    <x v="0"/>
    <x v="0"/>
    <x v="4"/>
    <x v="1"/>
    <x v="2"/>
    <x v="26"/>
    <x v="0"/>
    <x v="5"/>
    <x v="0"/>
    <n v="23140"/>
  </r>
  <r>
    <s v="CSKU01748_2EK"/>
    <x v="0"/>
    <x v="0"/>
    <x v="0"/>
    <x v="4"/>
    <x v="3"/>
    <x v="1"/>
    <x v="26"/>
    <x v="0"/>
    <x v="4"/>
    <x v="0"/>
    <n v="22570"/>
  </r>
  <r>
    <s v="CSKU01749_2EK"/>
    <x v="0"/>
    <x v="0"/>
    <x v="0"/>
    <x v="4"/>
    <x v="3"/>
    <x v="2"/>
    <x v="26"/>
    <x v="0"/>
    <x v="5"/>
    <x v="0"/>
    <n v="25190"/>
  </r>
  <r>
    <s v="CSKU01750_2EK"/>
    <x v="0"/>
    <x v="0"/>
    <x v="0"/>
    <x v="6"/>
    <x v="1"/>
    <x v="1"/>
    <x v="26"/>
    <x v="0"/>
    <x v="4"/>
    <x v="0"/>
    <n v="23870"/>
  </r>
  <r>
    <s v="CSKU01751_2EK"/>
    <x v="0"/>
    <x v="0"/>
    <x v="0"/>
    <x v="6"/>
    <x v="1"/>
    <x v="2"/>
    <x v="26"/>
    <x v="0"/>
    <x v="5"/>
    <x v="0"/>
    <n v="26390"/>
  </r>
  <r>
    <s v="CSKU01752_2EK"/>
    <x v="0"/>
    <x v="0"/>
    <x v="0"/>
    <x v="6"/>
    <x v="3"/>
    <x v="1"/>
    <x v="26"/>
    <x v="0"/>
    <x v="4"/>
    <x v="0"/>
    <n v="25300"/>
  </r>
  <r>
    <s v="CSKU01753_2EK"/>
    <x v="0"/>
    <x v="0"/>
    <x v="0"/>
    <x v="6"/>
    <x v="3"/>
    <x v="2"/>
    <x v="26"/>
    <x v="0"/>
    <x v="5"/>
    <x v="0"/>
    <n v="28760"/>
  </r>
  <r>
    <s v="CSKU01754_2EK"/>
    <x v="0"/>
    <x v="0"/>
    <x v="0"/>
    <x v="5"/>
    <x v="1"/>
    <x v="1"/>
    <x v="26"/>
    <x v="0"/>
    <x v="4"/>
    <x v="0"/>
    <n v="26180"/>
  </r>
  <r>
    <s v="CSKU01926_2EK"/>
    <x v="0"/>
    <x v="0"/>
    <x v="0"/>
    <x v="4"/>
    <x v="1"/>
    <x v="1"/>
    <x v="23"/>
    <x v="0"/>
    <x v="4"/>
    <x v="0"/>
    <n v="20860"/>
  </r>
  <r>
    <s v="CSKU02031_2EK"/>
    <x v="0"/>
    <x v="0"/>
    <x v="1"/>
    <x v="4"/>
    <x v="3"/>
    <x v="2"/>
    <x v="24"/>
    <x v="1"/>
    <x v="5"/>
    <x v="0"/>
    <n v="23830"/>
  </r>
  <r>
    <s v="CSKU02032_2EK"/>
    <x v="0"/>
    <x v="0"/>
    <x v="1"/>
    <x v="6"/>
    <x v="1"/>
    <x v="1"/>
    <x v="24"/>
    <x v="1"/>
    <x v="4"/>
    <x v="0"/>
    <n v="22780"/>
  </r>
  <r>
    <s v="CSKU02033_2EK"/>
    <x v="0"/>
    <x v="0"/>
    <x v="1"/>
    <x v="6"/>
    <x v="1"/>
    <x v="2"/>
    <x v="24"/>
    <x v="1"/>
    <x v="5"/>
    <x v="0"/>
    <n v="25030"/>
  </r>
  <r>
    <s v="CSKU02034_2EK"/>
    <x v="0"/>
    <x v="0"/>
    <x v="1"/>
    <x v="6"/>
    <x v="3"/>
    <x v="1"/>
    <x v="24"/>
    <x v="1"/>
    <x v="4"/>
    <x v="0"/>
    <n v="24190"/>
  </r>
  <r>
    <s v="CSKU02035_2EK"/>
    <x v="0"/>
    <x v="0"/>
    <x v="1"/>
    <x v="6"/>
    <x v="3"/>
    <x v="2"/>
    <x v="24"/>
    <x v="1"/>
    <x v="5"/>
    <x v="0"/>
    <n v="27270"/>
  </r>
  <r>
    <s v="CSKU02036_2EK"/>
    <x v="0"/>
    <x v="0"/>
    <x v="1"/>
    <x v="5"/>
    <x v="1"/>
    <x v="1"/>
    <x v="24"/>
    <x v="1"/>
    <x v="4"/>
    <x v="0"/>
    <n v="25020"/>
  </r>
  <r>
    <s v="CSKU02037_2EK"/>
    <x v="0"/>
    <x v="0"/>
    <x v="1"/>
    <x v="5"/>
    <x v="1"/>
    <x v="2"/>
    <x v="24"/>
    <x v="1"/>
    <x v="5"/>
    <x v="0"/>
    <n v="27450"/>
  </r>
  <r>
    <s v="CSKU02038_2EK"/>
    <x v="0"/>
    <x v="0"/>
    <x v="1"/>
    <x v="5"/>
    <x v="3"/>
    <x v="1"/>
    <x v="24"/>
    <x v="1"/>
    <x v="4"/>
    <x v="0"/>
    <n v="26610"/>
  </r>
  <r>
    <s v="CSKU02039_2EK"/>
    <x v="0"/>
    <x v="0"/>
    <x v="1"/>
    <x v="5"/>
    <x v="3"/>
    <x v="2"/>
    <x v="24"/>
    <x v="1"/>
    <x v="5"/>
    <x v="0"/>
    <n v="29880"/>
  </r>
  <r>
    <s v="CSKU02296_2EK"/>
    <x v="0"/>
    <x v="0"/>
    <x v="0"/>
    <x v="5"/>
    <x v="3"/>
    <x v="1"/>
    <x v="25"/>
    <x v="0"/>
    <x v="4"/>
    <x v="0"/>
    <n v="11040"/>
  </r>
  <r>
    <s v="CSKU02297_2EK"/>
    <x v="0"/>
    <x v="0"/>
    <x v="0"/>
    <x v="5"/>
    <x v="3"/>
    <x v="2"/>
    <x v="25"/>
    <x v="0"/>
    <x v="5"/>
    <x v="0"/>
    <n v="14670"/>
  </r>
  <r>
    <s v="CSKU02298_2EK"/>
    <x v="0"/>
    <x v="0"/>
    <x v="1"/>
    <x v="4"/>
    <x v="1"/>
    <x v="1"/>
    <x v="25"/>
    <x v="1"/>
    <x v="4"/>
    <x v="0"/>
    <n v="8520"/>
  </r>
  <r>
    <s v="CSKU02299_2EK"/>
    <x v="0"/>
    <x v="0"/>
    <x v="1"/>
    <x v="4"/>
    <x v="1"/>
    <x v="2"/>
    <x v="25"/>
    <x v="1"/>
    <x v="5"/>
    <x v="0"/>
    <n v="10560"/>
  </r>
  <r>
    <s v="CSKU02300_2EK"/>
    <x v="0"/>
    <x v="0"/>
    <x v="1"/>
    <x v="4"/>
    <x v="3"/>
    <x v="1"/>
    <x v="25"/>
    <x v="1"/>
    <x v="4"/>
    <x v="0"/>
    <n v="9100"/>
  </r>
  <r>
    <s v="CSKU02301_2EK"/>
    <x v="0"/>
    <x v="0"/>
    <x v="1"/>
    <x v="4"/>
    <x v="3"/>
    <x v="2"/>
    <x v="25"/>
    <x v="1"/>
    <x v="5"/>
    <x v="0"/>
    <n v="11460"/>
  </r>
  <r>
    <s v="CSKU02302_2EK"/>
    <x v="0"/>
    <x v="0"/>
    <x v="1"/>
    <x v="6"/>
    <x v="1"/>
    <x v="1"/>
    <x v="25"/>
    <x v="1"/>
    <x v="4"/>
    <x v="0"/>
    <n v="9050"/>
  </r>
  <r>
    <s v="CSKU02303_2EK"/>
    <x v="0"/>
    <x v="0"/>
    <x v="1"/>
    <x v="6"/>
    <x v="1"/>
    <x v="2"/>
    <x v="25"/>
    <x v="1"/>
    <x v="5"/>
    <x v="0"/>
    <n v="11300"/>
  </r>
  <r>
    <s v="CSKU02304_2EK"/>
    <x v="0"/>
    <x v="0"/>
    <x v="1"/>
    <x v="6"/>
    <x v="3"/>
    <x v="1"/>
    <x v="25"/>
    <x v="1"/>
    <x v="4"/>
    <x v="0"/>
    <n v="9270"/>
  </r>
  <r>
    <s v="CSKU02305_2EK"/>
    <x v="0"/>
    <x v="0"/>
    <x v="1"/>
    <x v="6"/>
    <x v="3"/>
    <x v="2"/>
    <x v="25"/>
    <x v="1"/>
    <x v="5"/>
    <x v="0"/>
    <n v="12350"/>
  </r>
  <r>
    <s v="CSKU02306_2EK"/>
    <x v="0"/>
    <x v="0"/>
    <x v="1"/>
    <x v="5"/>
    <x v="1"/>
    <x v="1"/>
    <x v="25"/>
    <x v="1"/>
    <x v="4"/>
    <x v="0"/>
    <n v="9630"/>
  </r>
  <r>
    <s v="CSKU02307_2EK"/>
    <x v="0"/>
    <x v="0"/>
    <x v="1"/>
    <x v="5"/>
    <x v="1"/>
    <x v="2"/>
    <x v="25"/>
    <x v="1"/>
    <x v="5"/>
    <x v="0"/>
    <n v="12060"/>
  </r>
  <r>
    <s v="CSKU02399_3EK"/>
    <x v="0"/>
    <x v="1"/>
    <x v="1"/>
    <x v="2"/>
    <x v="3"/>
    <x v="1"/>
    <x v="10"/>
    <x v="1"/>
    <x v="6"/>
    <x v="0"/>
    <n v="31160"/>
  </r>
  <r>
    <s v="CSKU02400_3EK"/>
    <x v="0"/>
    <x v="1"/>
    <x v="1"/>
    <x v="2"/>
    <x v="3"/>
    <x v="2"/>
    <x v="10"/>
    <x v="1"/>
    <x v="7"/>
    <x v="0"/>
    <n v="35290"/>
  </r>
  <r>
    <s v="CSKU02308_2EK"/>
    <x v="0"/>
    <x v="0"/>
    <x v="1"/>
    <x v="5"/>
    <x v="3"/>
    <x v="1"/>
    <x v="25"/>
    <x v="1"/>
    <x v="4"/>
    <x v="0"/>
    <n v="9850"/>
  </r>
  <r>
    <s v="CSKU02309_2EK"/>
    <x v="0"/>
    <x v="0"/>
    <x v="1"/>
    <x v="5"/>
    <x v="3"/>
    <x v="2"/>
    <x v="25"/>
    <x v="1"/>
    <x v="5"/>
    <x v="0"/>
    <n v="13120"/>
  </r>
  <r>
    <s v="CSKU01755_2EK"/>
    <x v="0"/>
    <x v="0"/>
    <x v="0"/>
    <x v="5"/>
    <x v="1"/>
    <x v="2"/>
    <x v="26"/>
    <x v="0"/>
    <x v="5"/>
    <x v="0"/>
    <n v="28890"/>
  </r>
  <r>
    <s v="CSKU01927_2EK"/>
    <x v="0"/>
    <x v="0"/>
    <x v="0"/>
    <x v="4"/>
    <x v="1"/>
    <x v="2"/>
    <x v="23"/>
    <x v="0"/>
    <x v="5"/>
    <x v="0"/>
    <n v="23140"/>
  </r>
  <r>
    <s v="CSKU01656_2EK"/>
    <x v="0"/>
    <x v="0"/>
    <x v="0"/>
    <x v="4"/>
    <x v="1"/>
    <x v="1"/>
    <x v="27"/>
    <x v="0"/>
    <x v="4"/>
    <x v="0"/>
    <n v="20860"/>
  </r>
  <r>
    <s v="CSKU01116_2EK"/>
    <x v="0"/>
    <x v="0"/>
    <x v="0"/>
    <x v="4"/>
    <x v="1"/>
    <x v="1"/>
    <x v="28"/>
    <x v="0"/>
    <x v="4"/>
    <x v="0"/>
    <n v="20860"/>
  </r>
  <r>
    <s v="CSKU01117_2EK"/>
    <x v="0"/>
    <x v="0"/>
    <x v="0"/>
    <x v="4"/>
    <x v="1"/>
    <x v="2"/>
    <x v="28"/>
    <x v="0"/>
    <x v="5"/>
    <x v="0"/>
    <n v="23140"/>
  </r>
  <r>
    <s v="CSKU01118_2EK"/>
    <x v="0"/>
    <x v="0"/>
    <x v="0"/>
    <x v="4"/>
    <x v="3"/>
    <x v="1"/>
    <x v="28"/>
    <x v="0"/>
    <x v="4"/>
    <x v="0"/>
    <n v="22570"/>
  </r>
  <r>
    <s v="CSKU01119_2EK"/>
    <x v="0"/>
    <x v="0"/>
    <x v="0"/>
    <x v="4"/>
    <x v="3"/>
    <x v="2"/>
    <x v="28"/>
    <x v="0"/>
    <x v="5"/>
    <x v="0"/>
    <n v="25190"/>
  </r>
  <r>
    <s v="CSKU01120_2EK"/>
    <x v="0"/>
    <x v="0"/>
    <x v="0"/>
    <x v="6"/>
    <x v="1"/>
    <x v="1"/>
    <x v="28"/>
    <x v="0"/>
    <x v="4"/>
    <x v="0"/>
    <n v="23870"/>
  </r>
  <r>
    <s v="CSKU01121_2EK"/>
    <x v="0"/>
    <x v="0"/>
    <x v="0"/>
    <x v="6"/>
    <x v="1"/>
    <x v="2"/>
    <x v="28"/>
    <x v="0"/>
    <x v="5"/>
    <x v="0"/>
    <n v="26390"/>
  </r>
  <r>
    <s v="CSKU01122_2EK"/>
    <x v="0"/>
    <x v="0"/>
    <x v="0"/>
    <x v="6"/>
    <x v="3"/>
    <x v="1"/>
    <x v="28"/>
    <x v="0"/>
    <x v="4"/>
    <x v="0"/>
    <n v="25300"/>
  </r>
  <r>
    <s v="CSKU01756_2EK"/>
    <x v="0"/>
    <x v="0"/>
    <x v="0"/>
    <x v="5"/>
    <x v="3"/>
    <x v="1"/>
    <x v="26"/>
    <x v="0"/>
    <x v="4"/>
    <x v="0"/>
    <n v="27800"/>
  </r>
  <r>
    <s v="CSKU01757_2EK"/>
    <x v="0"/>
    <x v="0"/>
    <x v="0"/>
    <x v="5"/>
    <x v="3"/>
    <x v="2"/>
    <x v="26"/>
    <x v="0"/>
    <x v="5"/>
    <x v="0"/>
    <n v="31430"/>
  </r>
  <r>
    <s v="CSKU01758_2EK"/>
    <x v="0"/>
    <x v="0"/>
    <x v="1"/>
    <x v="4"/>
    <x v="1"/>
    <x v="1"/>
    <x v="26"/>
    <x v="1"/>
    <x v="4"/>
    <x v="0"/>
    <n v="19840"/>
  </r>
  <r>
    <s v="CSKU01759_2EK"/>
    <x v="0"/>
    <x v="0"/>
    <x v="1"/>
    <x v="4"/>
    <x v="1"/>
    <x v="2"/>
    <x v="26"/>
    <x v="1"/>
    <x v="5"/>
    <x v="0"/>
    <n v="21880"/>
  </r>
  <r>
    <s v="CSKU01760_2EK"/>
    <x v="0"/>
    <x v="0"/>
    <x v="1"/>
    <x v="4"/>
    <x v="3"/>
    <x v="1"/>
    <x v="26"/>
    <x v="1"/>
    <x v="4"/>
    <x v="0"/>
    <n v="21470"/>
  </r>
  <r>
    <s v="CSKU01761_2EK"/>
    <x v="0"/>
    <x v="0"/>
    <x v="1"/>
    <x v="4"/>
    <x v="3"/>
    <x v="2"/>
    <x v="26"/>
    <x v="1"/>
    <x v="5"/>
    <x v="0"/>
    <n v="23830"/>
  </r>
  <r>
    <s v="CSKU01762_2EK"/>
    <x v="0"/>
    <x v="0"/>
    <x v="1"/>
    <x v="6"/>
    <x v="1"/>
    <x v="1"/>
    <x v="26"/>
    <x v="1"/>
    <x v="4"/>
    <x v="0"/>
    <n v="22780"/>
  </r>
  <r>
    <s v="CSKU01763_2EK"/>
    <x v="0"/>
    <x v="0"/>
    <x v="1"/>
    <x v="6"/>
    <x v="1"/>
    <x v="2"/>
    <x v="26"/>
    <x v="1"/>
    <x v="5"/>
    <x v="0"/>
    <n v="25030"/>
  </r>
  <r>
    <s v="CSKU01764_2EK"/>
    <x v="0"/>
    <x v="0"/>
    <x v="1"/>
    <x v="6"/>
    <x v="3"/>
    <x v="1"/>
    <x v="26"/>
    <x v="1"/>
    <x v="4"/>
    <x v="0"/>
    <n v="24190"/>
  </r>
  <r>
    <s v="CSKU01765_2EK"/>
    <x v="0"/>
    <x v="0"/>
    <x v="1"/>
    <x v="6"/>
    <x v="3"/>
    <x v="2"/>
    <x v="26"/>
    <x v="1"/>
    <x v="5"/>
    <x v="0"/>
    <n v="27270"/>
  </r>
  <r>
    <s v="CSKU01766_2EK"/>
    <x v="0"/>
    <x v="0"/>
    <x v="1"/>
    <x v="5"/>
    <x v="1"/>
    <x v="1"/>
    <x v="26"/>
    <x v="1"/>
    <x v="4"/>
    <x v="0"/>
    <n v="25020"/>
  </r>
  <r>
    <s v="CSKU01767_2EK"/>
    <x v="0"/>
    <x v="0"/>
    <x v="1"/>
    <x v="5"/>
    <x v="1"/>
    <x v="2"/>
    <x v="26"/>
    <x v="1"/>
    <x v="5"/>
    <x v="0"/>
    <n v="27450"/>
  </r>
  <r>
    <s v="CSKU01229_2EK"/>
    <x v="0"/>
    <x v="0"/>
    <x v="1"/>
    <x v="5"/>
    <x v="3"/>
    <x v="2"/>
    <x v="8"/>
    <x v="1"/>
    <x v="5"/>
    <x v="0"/>
    <n v="29880"/>
  </r>
  <r>
    <s v="CSKU01568_2EK"/>
    <x v="0"/>
    <x v="0"/>
    <x v="0"/>
    <x v="4"/>
    <x v="3"/>
    <x v="1"/>
    <x v="29"/>
    <x v="0"/>
    <x v="4"/>
    <x v="0"/>
    <n v="22570"/>
  </r>
  <r>
    <s v="CSKU01569_2EK"/>
    <x v="0"/>
    <x v="0"/>
    <x v="0"/>
    <x v="4"/>
    <x v="3"/>
    <x v="2"/>
    <x v="29"/>
    <x v="0"/>
    <x v="5"/>
    <x v="0"/>
    <n v="25190"/>
  </r>
  <r>
    <s v="CSKU01657_2EK"/>
    <x v="0"/>
    <x v="0"/>
    <x v="0"/>
    <x v="4"/>
    <x v="1"/>
    <x v="2"/>
    <x v="27"/>
    <x v="0"/>
    <x v="5"/>
    <x v="0"/>
    <n v="23140"/>
  </r>
  <r>
    <s v="CSKU01768_2EK"/>
    <x v="0"/>
    <x v="0"/>
    <x v="1"/>
    <x v="5"/>
    <x v="3"/>
    <x v="1"/>
    <x v="26"/>
    <x v="1"/>
    <x v="4"/>
    <x v="0"/>
    <n v="26610"/>
  </r>
  <r>
    <s v="CSKU01928_2EK"/>
    <x v="0"/>
    <x v="0"/>
    <x v="0"/>
    <x v="4"/>
    <x v="3"/>
    <x v="1"/>
    <x v="23"/>
    <x v="0"/>
    <x v="4"/>
    <x v="0"/>
    <n v="22570"/>
  </r>
  <r>
    <s v="CSKU01929_2EK"/>
    <x v="0"/>
    <x v="0"/>
    <x v="0"/>
    <x v="4"/>
    <x v="3"/>
    <x v="2"/>
    <x v="23"/>
    <x v="0"/>
    <x v="5"/>
    <x v="0"/>
    <n v="25190"/>
  </r>
  <r>
    <s v="CSKU01930_2EK"/>
    <x v="0"/>
    <x v="0"/>
    <x v="0"/>
    <x v="6"/>
    <x v="1"/>
    <x v="1"/>
    <x v="23"/>
    <x v="0"/>
    <x v="4"/>
    <x v="0"/>
    <n v="23870"/>
  </r>
  <r>
    <s v="CSKU01931_2EK"/>
    <x v="0"/>
    <x v="0"/>
    <x v="0"/>
    <x v="6"/>
    <x v="1"/>
    <x v="2"/>
    <x v="23"/>
    <x v="0"/>
    <x v="5"/>
    <x v="0"/>
    <n v="26390"/>
  </r>
  <r>
    <s v="CSKU01932_2EK"/>
    <x v="0"/>
    <x v="0"/>
    <x v="0"/>
    <x v="6"/>
    <x v="3"/>
    <x v="1"/>
    <x v="23"/>
    <x v="0"/>
    <x v="4"/>
    <x v="0"/>
    <n v="25300"/>
  </r>
  <r>
    <s v="CSKU01933_2EK"/>
    <x v="0"/>
    <x v="0"/>
    <x v="0"/>
    <x v="6"/>
    <x v="3"/>
    <x v="2"/>
    <x v="23"/>
    <x v="0"/>
    <x v="5"/>
    <x v="0"/>
    <n v="28760"/>
  </r>
  <r>
    <s v="CSKU01934_2EK"/>
    <x v="0"/>
    <x v="0"/>
    <x v="0"/>
    <x v="5"/>
    <x v="1"/>
    <x v="1"/>
    <x v="23"/>
    <x v="0"/>
    <x v="4"/>
    <x v="0"/>
    <n v="26180"/>
  </r>
  <r>
    <s v="CSKU01935_2EK"/>
    <x v="0"/>
    <x v="0"/>
    <x v="0"/>
    <x v="5"/>
    <x v="1"/>
    <x v="2"/>
    <x v="23"/>
    <x v="0"/>
    <x v="5"/>
    <x v="0"/>
    <n v="28890"/>
  </r>
  <r>
    <s v="CSKU01658_2EK"/>
    <x v="0"/>
    <x v="0"/>
    <x v="0"/>
    <x v="4"/>
    <x v="3"/>
    <x v="1"/>
    <x v="27"/>
    <x v="0"/>
    <x v="4"/>
    <x v="0"/>
    <n v="22570"/>
  </r>
  <r>
    <s v="CSKU01659_2EK"/>
    <x v="0"/>
    <x v="0"/>
    <x v="0"/>
    <x v="4"/>
    <x v="3"/>
    <x v="2"/>
    <x v="27"/>
    <x v="0"/>
    <x v="5"/>
    <x v="0"/>
    <n v="25190"/>
  </r>
  <r>
    <s v="CSKU01660_2EK"/>
    <x v="0"/>
    <x v="0"/>
    <x v="0"/>
    <x v="6"/>
    <x v="1"/>
    <x v="1"/>
    <x v="27"/>
    <x v="0"/>
    <x v="4"/>
    <x v="0"/>
    <n v="23870"/>
  </r>
  <r>
    <s v="CSKU01661_2EK"/>
    <x v="0"/>
    <x v="0"/>
    <x v="0"/>
    <x v="6"/>
    <x v="1"/>
    <x v="2"/>
    <x v="27"/>
    <x v="0"/>
    <x v="5"/>
    <x v="0"/>
    <n v="26390"/>
  </r>
  <r>
    <s v="CSKU01662_2EK"/>
    <x v="0"/>
    <x v="0"/>
    <x v="0"/>
    <x v="6"/>
    <x v="3"/>
    <x v="1"/>
    <x v="27"/>
    <x v="0"/>
    <x v="4"/>
    <x v="0"/>
    <n v="25300"/>
  </r>
  <r>
    <s v="CSKU01663_2EK"/>
    <x v="0"/>
    <x v="0"/>
    <x v="0"/>
    <x v="6"/>
    <x v="3"/>
    <x v="2"/>
    <x v="27"/>
    <x v="0"/>
    <x v="5"/>
    <x v="0"/>
    <n v="28760"/>
  </r>
  <r>
    <s v="CSKU01664_2EK"/>
    <x v="0"/>
    <x v="0"/>
    <x v="0"/>
    <x v="5"/>
    <x v="1"/>
    <x v="1"/>
    <x v="27"/>
    <x v="0"/>
    <x v="4"/>
    <x v="0"/>
    <n v="26180"/>
  </r>
  <r>
    <s v="CSKU01665_2EK"/>
    <x v="0"/>
    <x v="0"/>
    <x v="0"/>
    <x v="5"/>
    <x v="1"/>
    <x v="2"/>
    <x v="27"/>
    <x v="0"/>
    <x v="5"/>
    <x v="0"/>
    <n v="28890"/>
  </r>
  <r>
    <s v="CSKU01666_2EK"/>
    <x v="0"/>
    <x v="0"/>
    <x v="0"/>
    <x v="5"/>
    <x v="3"/>
    <x v="1"/>
    <x v="27"/>
    <x v="0"/>
    <x v="4"/>
    <x v="0"/>
    <n v="27800"/>
  </r>
  <r>
    <s v="CSKU01667_2EK"/>
    <x v="0"/>
    <x v="0"/>
    <x v="0"/>
    <x v="5"/>
    <x v="3"/>
    <x v="2"/>
    <x v="27"/>
    <x v="0"/>
    <x v="5"/>
    <x v="0"/>
    <n v="31430"/>
  </r>
  <r>
    <s v="CSKU01668_2EK"/>
    <x v="0"/>
    <x v="0"/>
    <x v="1"/>
    <x v="4"/>
    <x v="1"/>
    <x v="1"/>
    <x v="27"/>
    <x v="1"/>
    <x v="4"/>
    <x v="0"/>
    <n v="19840"/>
  </r>
  <r>
    <s v="CSKU01123_2EK"/>
    <x v="0"/>
    <x v="0"/>
    <x v="0"/>
    <x v="6"/>
    <x v="3"/>
    <x v="2"/>
    <x v="28"/>
    <x v="0"/>
    <x v="5"/>
    <x v="0"/>
    <n v="28760"/>
  </r>
  <r>
    <s v="CSKU01769_2EK"/>
    <x v="0"/>
    <x v="0"/>
    <x v="1"/>
    <x v="5"/>
    <x v="3"/>
    <x v="2"/>
    <x v="26"/>
    <x v="1"/>
    <x v="5"/>
    <x v="0"/>
    <n v="29880"/>
  </r>
  <r>
    <s v="CSKU01124_2EK"/>
    <x v="0"/>
    <x v="0"/>
    <x v="0"/>
    <x v="5"/>
    <x v="1"/>
    <x v="1"/>
    <x v="28"/>
    <x v="0"/>
    <x v="4"/>
    <x v="0"/>
    <n v="26180"/>
  </r>
  <r>
    <s v="CSKU01125_2EK"/>
    <x v="0"/>
    <x v="0"/>
    <x v="0"/>
    <x v="5"/>
    <x v="1"/>
    <x v="2"/>
    <x v="28"/>
    <x v="0"/>
    <x v="5"/>
    <x v="0"/>
    <n v="28890"/>
  </r>
  <r>
    <s v="CSKU01126_2EK"/>
    <x v="0"/>
    <x v="0"/>
    <x v="0"/>
    <x v="5"/>
    <x v="3"/>
    <x v="1"/>
    <x v="28"/>
    <x v="0"/>
    <x v="4"/>
    <x v="0"/>
    <n v="27800"/>
  </r>
  <r>
    <s v="CSKU01127_2EK"/>
    <x v="0"/>
    <x v="0"/>
    <x v="0"/>
    <x v="5"/>
    <x v="3"/>
    <x v="2"/>
    <x v="28"/>
    <x v="0"/>
    <x v="5"/>
    <x v="0"/>
    <n v="31430"/>
  </r>
  <r>
    <s v="CSKU01128_2EK"/>
    <x v="0"/>
    <x v="0"/>
    <x v="1"/>
    <x v="4"/>
    <x v="1"/>
    <x v="1"/>
    <x v="28"/>
    <x v="1"/>
    <x v="4"/>
    <x v="0"/>
    <n v="19840"/>
  </r>
  <r>
    <s v="CSKU01129_2EK"/>
    <x v="0"/>
    <x v="0"/>
    <x v="1"/>
    <x v="4"/>
    <x v="1"/>
    <x v="2"/>
    <x v="28"/>
    <x v="1"/>
    <x v="5"/>
    <x v="0"/>
    <n v="21880"/>
  </r>
  <r>
    <s v="CSKU01130_2EK"/>
    <x v="0"/>
    <x v="0"/>
    <x v="1"/>
    <x v="4"/>
    <x v="3"/>
    <x v="1"/>
    <x v="28"/>
    <x v="1"/>
    <x v="4"/>
    <x v="0"/>
    <n v="21470"/>
  </r>
  <r>
    <s v="CSKU01131_2EK"/>
    <x v="0"/>
    <x v="0"/>
    <x v="1"/>
    <x v="4"/>
    <x v="3"/>
    <x v="2"/>
    <x v="28"/>
    <x v="1"/>
    <x v="5"/>
    <x v="0"/>
    <n v="23830"/>
  </r>
  <r>
    <s v="CSKU01132_2EK"/>
    <x v="0"/>
    <x v="0"/>
    <x v="1"/>
    <x v="6"/>
    <x v="1"/>
    <x v="1"/>
    <x v="28"/>
    <x v="1"/>
    <x v="4"/>
    <x v="0"/>
    <n v="22780"/>
  </r>
  <r>
    <s v="CSKU01133_2EK"/>
    <x v="0"/>
    <x v="0"/>
    <x v="1"/>
    <x v="6"/>
    <x v="1"/>
    <x v="2"/>
    <x v="28"/>
    <x v="1"/>
    <x v="5"/>
    <x v="0"/>
    <n v="25030"/>
  </r>
  <r>
    <s v="CSKU01134_2EK"/>
    <x v="0"/>
    <x v="0"/>
    <x v="1"/>
    <x v="6"/>
    <x v="3"/>
    <x v="1"/>
    <x v="28"/>
    <x v="1"/>
    <x v="4"/>
    <x v="0"/>
    <n v="24190"/>
  </r>
  <r>
    <s v="CSKU01669_2EK"/>
    <x v="0"/>
    <x v="0"/>
    <x v="1"/>
    <x v="4"/>
    <x v="1"/>
    <x v="2"/>
    <x v="27"/>
    <x v="1"/>
    <x v="5"/>
    <x v="0"/>
    <n v="21880"/>
  </r>
  <r>
    <s v="CSKU01670_2EK"/>
    <x v="0"/>
    <x v="0"/>
    <x v="1"/>
    <x v="4"/>
    <x v="3"/>
    <x v="1"/>
    <x v="27"/>
    <x v="1"/>
    <x v="4"/>
    <x v="0"/>
    <n v="21470"/>
  </r>
  <r>
    <s v="CSKU01671_2EK"/>
    <x v="0"/>
    <x v="0"/>
    <x v="1"/>
    <x v="4"/>
    <x v="3"/>
    <x v="2"/>
    <x v="27"/>
    <x v="1"/>
    <x v="5"/>
    <x v="0"/>
    <n v="23830"/>
  </r>
  <r>
    <s v="CSKU01672_2EK"/>
    <x v="0"/>
    <x v="0"/>
    <x v="1"/>
    <x v="6"/>
    <x v="1"/>
    <x v="1"/>
    <x v="27"/>
    <x v="1"/>
    <x v="4"/>
    <x v="0"/>
    <n v="22780"/>
  </r>
  <r>
    <s v="CSKU01673_2EK"/>
    <x v="0"/>
    <x v="0"/>
    <x v="1"/>
    <x v="6"/>
    <x v="1"/>
    <x v="2"/>
    <x v="27"/>
    <x v="1"/>
    <x v="5"/>
    <x v="0"/>
    <n v="25030"/>
  </r>
  <r>
    <s v="CSKU01674_2EK"/>
    <x v="0"/>
    <x v="0"/>
    <x v="1"/>
    <x v="6"/>
    <x v="3"/>
    <x v="1"/>
    <x v="27"/>
    <x v="1"/>
    <x v="4"/>
    <x v="0"/>
    <n v="24190"/>
  </r>
  <r>
    <s v="CSKU01675_2EK"/>
    <x v="0"/>
    <x v="0"/>
    <x v="1"/>
    <x v="6"/>
    <x v="3"/>
    <x v="2"/>
    <x v="27"/>
    <x v="1"/>
    <x v="5"/>
    <x v="0"/>
    <n v="27270"/>
  </r>
  <r>
    <s v="CSKU01676_2EK"/>
    <x v="0"/>
    <x v="0"/>
    <x v="1"/>
    <x v="5"/>
    <x v="1"/>
    <x v="1"/>
    <x v="27"/>
    <x v="1"/>
    <x v="4"/>
    <x v="0"/>
    <n v="25020"/>
  </r>
  <r>
    <s v="CSKU01677_2EK"/>
    <x v="0"/>
    <x v="0"/>
    <x v="1"/>
    <x v="5"/>
    <x v="1"/>
    <x v="2"/>
    <x v="27"/>
    <x v="1"/>
    <x v="5"/>
    <x v="0"/>
    <n v="27450"/>
  </r>
  <r>
    <s v="CSKU01678_2EK"/>
    <x v="0"/>
    <x v="0"/>
    <x v="1"/>
    <x v="5"/>
    <x v="3"/>
    <x v="1"/>
    <x v="27"/>
    <x v="1"/>
    <x v="4"/>
    <x v="0"/>
    <n v="26610"/>
  </r>
  <r>
    <s v="CSKU01386_2EK"/>
    <x v="0"/>
    <x v="0"/>
    <x v="0"/>
    <x v="4"/>
    <x v="1"/>
    <x v="1"/>
    <x v="30"/>
    <x v="0"/>
    <x v="4"/>
    <x v="0"/>
    <n v="20860"/>
  </r>
  <r>
    <s v="CSKU01679_2EK"/>
    <x v="0"/>
    <x v="0"/>
    <x v="1"/>
    <x v="5"/>
    <x v="3"/>
    <x v="2"/>
    <x v="27"/>
    <x v="1"/>
    <x v="5"/>
    <x v="0"/>
    <n v="29880"/>
  </r>
  <r>
    <s v="CSKU00861_2EK"/>
    <x v="0"/>
    <x v="0"/>
    <x v="1"/>
    <x v="4"/>
    <x v="3"/>
    <x v="2"/>
    <x v="7"/>
    <x v="1"/>
    <x v="5"/>
    <x v="0"/>
    <n v="23830"/>
  </r>
  <r>
    <s v="CSKU00862_2EK"/>
    <x v="0"/>
    <x v="0"/>
    <x v="1"/>
    <x v="6"/>
    <x v="1"/>
    <x v="1"/>
    <x v="7"/>
    <x v="1"/>
    <x v="4"/>
    <x v="0"/>
    <n v="22780"/>
  </r>
  <r>
    <s v="CSKU00863_2EK"/>
    <x v="0"/>
    <x v="0"/>
    <x v="1"/>
    <x v="6"/>
    <x v="1"/>
    <x v="2"/>
    <x v="7"/>
    <x v="1"/>
    <x v="5"/>
    <x v="0"/>
    <n v="25030"/>
  </r>
  <r>
    <s v="CSKU00864_2EK"/>
    <x v="0"/>
    <x v="0"/>
    <x v="1"/>
    <x v="6"/>
    <x v="3"/>
    <x v="1"/>
    <x v="7"/>
    <x v="1"/>
    <x v="4"/>
    <x v="0"/>
    <n v="24190"/>
  </r>
  <r>
    <s v="CSKU00865_2EK"/>
    <x v="0"/>
    <x v="0"/>
    <x v="1"/>
    <x v="6"/>
    <x v="3"/>
    <x v="2"/>
    <x v="7"/>
    <x v="1"/>
    <x v="5"/>
    <x v="0"/>
    <n v="27270"/>
  </r>
  <r>
    <s v="CSKU00866_2EK"/>
    <x v="0"/>
    <x v="0"/>
    <x v="1"/>
    <x v="5"/>
    <x v="1"/>
    <x v="1"/>
    <x v="7"/>
    <x v="1"/>
    <x v="4"/>
    <x v="0"/>
    <n v="25020"/>
  </r>
  <r>
    <s v="CSKU00867_2EK"/>
    <x v="0"/>
    <x v="0"/>
    <x v="1"/>
    <x v="5"/>
    <x v="1"/>
    <x v="2"/>
    <x v="7"/>
    <x v="1"/>
    <x v="5"/>
    <x v="0"/>
    <n v="27450"/>
  </r>
  <r>
    <s v="CSKU00868_2EK"/>
    <x v="0"/>
    <x v="0"/>
    <x v="1"/>
    <x v="5"/>
    <x v="3"/>
    <x v="1"/>
    <x v="7"/>
    <x v="1"/>
    <x v="4"/>
    <x v="0"/>
    <n v="26610"/>
  </r>
  <r>
    <s v="CSKU00869_2EK"/>
    <x v="0"/>
    <x v="0"/>
    <x v="1"/>
    <x v="5"/>
    <x v="3"/>
    <x v="2"/>
    <x v="7"/>
    <x v="1"/>
    <x v="5"/>
    <x v="0"/>
    <n v="29880"/>
  </r>
  <r>
    <s v="CSKU01387_2EK"/>
    <x v="0"/>
    <x v="0"/>
    <x v="0"/>
    <x v="4"/>
    <x v="1"/>
    <x v="2"/>
    <x v="30"/>
    <x v="0"/>
    <x v="5"/>
    <x v="0"/>
    <n v="23140"/>
  </r>
  <r>
    <s v="CSKU01388_2EK"/>
    <x v="0"/>
    <x v="0"/>
    <x v="0"/>
    <x v="4"/>
    <x v="3"/>
    <x v="1"/>
    <x v="30"/>
    <x v="0"/>
    <x v="4"/>
    <x v="0"/>
    <n v="22570"/>
  </r>
  <r>
    <s v="CSKU01389_2EK"/>
    <x v="0"/>
    <x v="0"/>
    <x v="0"/>
    <x v="4"/>
    <x v="3"/>
    <x v="2"/>
    <x v="30"/>
    <x v="0"/>
    <x v="5"/>
    <x v="0"/>
    <n v="25190"/>
  </r>
  <r>
    <s v="CSKU01390_2EK"/>
    <x v="0"/>
    <x v="0"/>
    <x v="0"/>
    <x v="6"/>
    <x v="1"/>
    <x v="1"/>
    <x v="30"/>
    <x v="0"/>
    <x v="4"/>
    <x v="0"/>
    <n v="23870"/>
  </r>
  <r>
    <s v="CSKU01391_2EK"/>
    <x v="0"/>
    <x v="0"/>
    <x v="0"/>
    <x v="6"/>
    <x v="1"/>
    <x v="2"/>
    <x v="30"/>
    <x v="0"/>
    <x v="5"/>
    <x v="0"/>
    <n v="26390"/>
  </r>
  <r>
    <s v="CSKU01392_2EK"/>
    <x v="0"/>
    <x v="0"/>
    <x v="0"/>
    <x v="6"/>
    <x v="3"/>
    <x v="1"/>
    <x v="30"/>
    <x v="0"/>
    <x v="4"/>
    <x v="0"/>
    <n v="25300"/>
  </r>
  <r>
    <s v="CSKU01393_2EK"/>
    <x v="0"/>
    <x v="0"/>
    <x v="0"/>
    <x v="6"/>
    <x v="3"/>
    <x v="2"/>
    <x v="30"/>
    <x v="0"/>
    <x v="5"/>
    <x v="0"/>
    <n v="28760"/>
  </r>
  <r>
    <s v="CSKU01394_2EK"/>
    <x v="0"/>
    <x v="0"/>
    <x v="0"/>
    <x v="5"/>
    <x v="1"/>
    <x v="1"/>
    <x v="30"/>
    <x v="0"/>
    <x v="4"/>
    <x v="0"/>
    <n v="26180"/>
  </r>
  <r>
    <s v="CSKU01395_2EK"/>
    <x v="0"/>
    <x v="0"/>
    <x v="0"/>
    <x v="5"/>
    <x v="1"/>
    <x v="2"/>
    <x v="30"/>
    <x v="0"/>
    <x v="5"/>
    <x v="0"/>
    <n v="28890"/>
  </r>
  <r>
    <s v="CSKU01396_2EK"/>
    <x v="0"/>
    <x v="0"/>
    <x v="0"/>
    <x v="5"/>
    <x v="3"/>
    <x v="1"/>
    <x v="30"/>
    <x v="0"/>
    <x v="4"/>
    <x v="0"/>
    <n v="27800"/>
  </r>
  <r>
    <s v="CSKU01397_2EK"/>
    <x v="0"/>
    <x v="0"/>
    <x v="0"/>
    <x v="5"/>
    <x v="3"/>
    <x v="2"/>
    <x v="30"/>
    <x v="0"/>
    <x v="5"/>
    <x v="0"/>
    <n v="31430"/>
  </r>
  <r>
    <s v="CSKU01398_2EK"/>
    <x v="0"/>
    <x v="0"/>
    <x v="1"/>
    <x v="4"/>
    <x v="1"/>
    <x v="1"/>
    <x v="30"/>
    <x v="1"/>
    <x v="4"/>
    <x v="0"/>
    <n v="19840"/>
  </r>
  <r>
    <s v="CSKU01135_2EK"/>
    <x v="0"/>
    <x v="0"/>
    <x v="1"/>
    <x v="6"/>
    <x v="3"/>
    <x v="2"/>
    <x v="28"/>
    <x v="1"/>
    <x v="5"/>
    <x v="0"/>
    <n v="27270"/>
  </r>
  <r>
    <s v="CSKU01399_2EK"/>
    <x v="0"/>
    <x v="0"/>
    <x v="1"/>
    <x v="4"/>
    <x v="1"/>
    <x v="2"/>
    <x v="30"/>
    <x v="1"/>
    <x v="5"/>
    <x v="0"/>
    <n v="21880"/>
  </r>
  <r>
    <s v="CSKU01566_2EK"/>
    <x v="0"/>
    <x v="0"/>
    <x v="0"/>
    <x v="4"/>
    <x v="1"/>
    <x v="1"/>
    <x v="29"/>
    <x v="0"/>
    <x v="4"/>
    <x v="0"/>
    <n v="20860"/>
  </r>
  <r>
    <s v="CSKU01567_2EK"/>
    <x v="0"/>
    <x v="0"/>
    <x v="0"/>
    <x v="4"/>
    <x v="1"/>
    <x v="2"/>
    <x v="29"/>
    <x v="0"/>
    <x v="5"/>
    <x v="0"/>
    <n v="23140"/>
  </r>
  <r>
    <s v="CSKU01136_2EK"/>
    <x v="0"/>
    <x v="0"/>
    <x v="1"/>
    <x v="5"/>
    <x v="1"/>
    <x v="1"/>
    <x v="28"/>
    <x v="1"/>
    <x v="4"/>
    <x v="0"/>
    <n v="25020"/>
  </r>
  <r>
    <s v="CSKU01137_2EK"/>
    <x v="0"/>
    <x v="0"/>
    <x v="1"/>
    <x v="5"/>
    <x v="1"/>
    <x v="2"/>
    <x v="28"/>
    <x v="1"/>
    <x v="5"/>
    <x v="0"/>
    <n v="27450"/>
  </r>
  <r>
    <s v="CSKU01138_2EK"/>
    <x v="0"/>
    <x v="0"/>
    <x v="1"/>
    <x v="5"/>
    <x v="3"/>
    <x v="1"/>
    <x v="28"/>
    <x v="1"/>
    <x v="4"/>
    <x v="0"/>
    <n v="26610"/>
  </r>
  <r>
    <s v="CSKU01139_2EK"/>
    <x v="0"/>
    <x v="0"/>
    <x v="1"/>
    <x v="5"/>
    <x v="3"/>
    <x v="2"/>
    <x v="28"/>
    <x v="1"/>
    <x v="5"/>
    <x v="0"/>
    <n v="29880"/>
  </r>
  <r>
    <s v="CSKU01400_2EK"/>
    <x v="0"/>
    <x v="0"/>
    <x v="1"/>
    <x v="4"/>
    <x v="3"/>
    <x v="1"/>
    <x v="30"/>
    <x v="1"/>
    <x v="4"/>
    <x v="0"/>
    <n v="21470"/>
  </r>
  <r>
    <s v="CSKU01401_2EK"/>
    <x v="0"/>
    <x v="0"/>
    <x v="1"/>
    <x v="4"/>
    <x v="3"/>
    <x v="2"/>
    <x v="30"/>
    <x v="1"/>
    <x v="5"/>
    <x v="0"/>
    <n v="23830"/>
  </r>
  <r>
    <s v="CSKU01402_2EK"/>
    <x v="0"/>
    <x v="0"/>
    <x v="1"/>
    <x v="6"/>
    <x v="1"/>
    <x v="1"/>
    <x v="30"/>
    <x v="1"/>
    <x v="4"/>
    <x v="0"/>
    <n v="22780"/>
  </r>
  <r>
    <s v="CSKU01403_2EK"/>
    <x v="0"/>
    <x v="0"/>
    <x v="1"/>
    <x v="6"/>
    <x v="1"/>
    <x v="2"/>
    <x v="30"/>
    <x v="1"/>
    <x v="5"/>
    <x v="0"/>
    <n v="25030"/>
  </r>
  <r>
    <s v="CSKU01404_2EK"/>
    <x v="0"/>
    <x v="0"/>
    <x v="1"/>
    <x v="6"/>
    <x v="3"/>
    <x v="1"/>
    <x v="30"/>
    <x v="1"/>
    <x v="4"/>
    <x v="0"/>
    <n v="24190"/>
  </r>
  <r>
    <s v="CSKU01405_2EK"/>
    <x v="0"/>
    <x v="0"/>
    <x v="1"/>
    <x v="6"/>
    <x v="3"/>
    <x v="2"/>
    <x v="30"/>
    <x v="1"/>
    <x v="5"/>
    <x v="0"/>
    <n v="27270"/>
  </r>
  <r>
    <s v="CSKU01406_2EK"/>
    <x v="0"/>
    <x v="0"/>
    <x v="1"/>
    <x v="5"/>
    <x v="1"/>
    <x v="1"/>
    <x v="30"/>
    <x v="1"/>
    <x v="4"/>
    <x v="0"/>
    <n v="25020"/>
  </r>
  <r>
    <s v="CSKU01407_2EK"/>
    <x v="0"/>
    <x v="0"/>
    <x v="1"/>
    <x v="5"/>
    <x v="1"/>
    <x v="2"/>
    <x v="30"/>
    <x v="1"/>
    <x v="5"/>
    <x v="0"/>
    <n v="27450"/>
  </r>
  <r>
    <s v="CSKU01408_2EK"/>
    <x v="0"/>
    <x v="0"/>
    <x v="1"/>
    <x v="5"/>
    <x v="3"/>
    <x v="1"/>
    <x v="30"/>
    <x v="1"/>
    <x v="4"/>
    <x v="0"/>
    <n v="26610"/>
  </r>
  <r>
    <s v="CSKU01409_2EK"/>
    <x v="0"/>
    <x v="0"/>
    <x v="1"/>
    <x v="5"/>
    <x v="3"/>
    <x v="2"/>
    <x v="30"/>
    <x v="1"/>
    <x v="5"/>
    <x v="0"/>
    <n v="29880"/>
  </r>
  <r>
    <s v="CSKU00684_2EK"/>
    <x v="0"/>
    <x v="0"/>
    <x v="1"/>
    <x v="6"/>
    <x v="3"/>
    <x v="1"/>
    <x v="31"/>
    <x v="1"/>
    <x v="4"/>
    <x v="0"/>
    <n v="24190"/>
  </r>
  <r>
    <s v="CSKU00685_2EK"/>
    <x v="0"/>
    <x v="0"/>
    <x v="1"/>
    <x v="6"/>
    <x v="3"/>
    <x v="2"/>
    <x v="31"/>
    <x v="1"/>
    <x v="5"/>
    <x v="0"/>
    <n v="27270"/>
  </r>
  <r>
    <s v="CSKU00756_2EK"/>
    <x v="0"/>
    <x v="0"/>
    <x v="0"/>
    <x v="4"/>
    <x v="1"/>
    <x v="1"/>
    <x v="32"/>
    <x v="0"/>
    <x v="4"/>
    <x v="0"/>
    <n v="20860"/>
  </r>
  <r>
    <s v="CSKU00757_2EK"/>
    <x v="0"/>
    <x v="0"/>
    <x v="0"/>
    <x v="4"/>
    <x v="1"/>
    <x v="2"/>
    <x v="32"/>
    <x v="0"/>
    <x v="5"/>
    <x v="0"/>
    <n v="23140"/>
  </r>
  <r>
    <s v="CSKU00758_2EK"/>
    <x v="0"/>
    <x v="0"/>
    <x v="0"/>
    <x v="4"/>
    <x v="3"/>
    <x v="1"/>
    <x v="32"/>
    <x v="0"/>
    <x v="4"/>
    <x v="0"/>
    <n v="22570"/>
  </r>
  <r>
    <s v="CSKU00759_2EK"/>
    <x v="0"/>
    <x v="0"/>
    <x v="0"/>
    <x v="4"/>
    <x v="3"/>
    <x v="2"/>
    <x v="32"/>
    <x v="0"/>
    <x v="5"/>
    <x v="0"/>
    <n v="25190"/>
  </r>
  <r>
    <s v="CSKU00760_2EK"/>
    <x v="0"/>
    <x v="0"/>
    <x v="0"/>
    <x v="6"/>
    <x v="1"/>
    <x v="1"/>
    <x v="32"/>
    <x v="0"/>
    <x v="4"/>
    <x v="0"/>
    <n v="23870"/>
  </r>
  <r>
    <s v="CSKU00761_2EK"/>
    <x v="0"/>
    <x v="0"/>
    <x v="0"/>
    <x v="6"/>
    <x v="1"/>
    <x v="2"/>
    <x v="32"/>
    <x v="0"/>
    <x v="5"/>
    <x v="0"/>
    <n v="26390"/>
  </r>
  <r>
    <s v="CSKU00762_2EK"/>
    <x v="0"/>
    <x v="0"/>
    <x v="0"/>
    <x v="6"/>
    <x v="3"/>
    <x v="1"/>
    <x v="32"/>
    <x v="0"/>
    <x v="4"/>
    <x v="0"/>
    <n v="25300"/>
  </r>
  <r>
    <s v="CSKU00763_2EK"/>
    <x v="0"/>
    <x v="0"/>
    <x v="0"/>
    <x v="6"/>
    <x v="3"/>
    <x v="2"/>
    <x v="32"/>
    <x v="0"/>
    <x v="5"/>
    <x v="0"/>
    <n v="28760"/>
  </r>
  <r>
    <s v="CSKU00764_2EK"/>
    <x v="0"/>
    <x v="0"/>
    <x v="0"/>
    <x v="5"/>
    <x v="1"/>
    <x v="1"/>
    <x v="32"/>
    <x v="0"/>
    <x v="4"/>
    <x v="0"/>
    <n v="26180"/>
  </r>
  <r>
    <s v="CSKU00765_2EK"/>
    <x v="0"/>
    <x v="0"/>
    <x v="0"/>
    <x v="5"/>
    <x v="1"/>
    <x v="2"/>
    <x v="32"/>
    <x v="0"/>
    <x v="5"/>
    <x v="0"/>
    <n v="28890"/>
  </r>
  <r>
    <s v="CSKU00766_2EK"/>
    <x v="0"/>
    <x v="0"/>
    <x v="0"/>
    <x v="5"/>
    <x v="3"/>
    <x v="1"/>
    <x v="32"/>
    <x v="0"/>
    <x v="4"/>
    <x v="0"/>
    <n v="27800"/>
  </r>
  <r>
    <s v="CSKU00767_2EK"/>
    <x v="0"/>
    <x v="0"/>
    <x v="0"/>
    <x v="5"/>
    <x v="3"/>
    <x v="2"/>
    <x v="32"/>
    <x v="0"/>
    <x v="5"/>
    <x v="0"/>
    <n v="31430"/>
  </r>
  <r>
    <s v="CSKU00768_2EK"/>
    <x v="0"/>
    <x v="0"/>
    <x v="1"/>
    <x v="4"/>
    <x v="1"/>
    <x v="1"/>
    <x v="32"/>
    <x v="1"/>
    <x v="4"/>
    <x v="0"/>
    <n v="19840"/>
  </r>
  <r>
    <s v="CSKU00769_2EK"/>
    <x v="0"/>
    <x v="0"/>
    <x v="1"/>
    <x v="4"/>
    <x v="1"/>
    <x v="2"/>
    <x v="32"/>
    <x v="1"/>
    <x v="5"/>
    <x v="0"/>
    <n v="21880"/>
  </r>
  <r>
    <s v="CSKU00770_2EK"/>
    <x v="0"/>
    <x v="0"/>
    <x v="1"/>
    <x v="4"/>
    <x v="3"/>
    <x v="1"/>
    <x v="32"/>
    <x v="1"/>
    <x v="4"/>
    <x v="0"/>
    <n v="21470"/>
  </r>
  <r>
    <s v="CSKU00771_2EK"/>
    <x v="0"/>
    <x v="0"/>
    <x v="1"/>
    <x v="4"/>
    <x v="3"/>
    <x v="2"/>
    <x v="32"/>
    <x v="1"/>
    <x v="5"/>
    <x v="0"/>
    <n v="23830"/>
  </r>
  <r>
    <s v="CSKU00772_2EK"/>
    <x v="0"/>
    <x v="0"/>
    <x v="1"/>
    <x v="6"/>
    <x v="1"/>
    <x v="1"/>
    <x v="32"/>
    <x v="1"/>
    <x v="4"/>
    <x v="0"/>
    <n v="22780"/>
  </r>
  <r>
    <s v="CSKU00773_2EK"/>
    <x v="0"/>
    <x v="0"/>
    <x v="1"/>
    <x v="6"/>
    <x v="1"/>
    <x v="2"/>
    <x v="32"/>
    <x v="1"/>
    <x v="5"/>
    <x v="0"/>
    <n v="25030"/>
  </r>
  <r>
    <s v="CSKU00774_2EK"/>
    <x v="0"/>
    <x v="0"/>
    <x v="1"/>
    <x v="6"/>
    <x v="3"/>
    <x v="1"/>
    <x v="32"/>
    <x v="1"/>
    <x v="4"/>
    <x v="0"/>
    <n v="24190"/>
  </r>
  <r>
    <s v="CSKU00775_2EK"/>
    <x v="0"/>
    <x v="0"/>
    <x v="1"/>
    <x v="6"/>
    <x v="3"/>
    <x v="2"/>
    <x v="32"/>
    <x v="1"/>
    <x v="5"/>
    <x v="0"/>
    <n v="27270"/>
  </r>
  <r>
    <s v="CSKU00776_2EK"/>
    <x v="0"/>
    <x v="0"/>
    <x v="1"/>
    <x v="5"/>
    <x v="1"/>
    <x v="1"/>
    <x v="32"/>
    <x v="1"/>
    <x v="4"/>
    <x v="0"/>
    <n v="25020"/>
  </r>
  <r>
    <s v="CSKU00777_2EK"/>
    <x v="0"/>
    <x v="0"/>
    <x v="1"/>
    <x v="5"/>
    <x v="1"/>
    <x v="2"/>
    <x v="32"/>
    <x v="1"/>
    <x v="5"/>
    <x v="0"/>
    <n v="27450"/>
  </r>
  <r>
    <s v="CSKU00778_2EK"/>
    <x v="0"/>
    <x v="0"/>
    <x v="1"/>
    <x v="5"/>
    <x v="3"/>
    <x v="1"/>
    <x v="32"/>
    <x v="1"/>
    <x v="4"/>
    <x v="0"/>
    <n v="26610"/>
  </r>
  <r>
    <s v="CSKU01026_2EK"/>
    <x v="0"/>
    <x v="0"/>
    <x v="0"/>
    <x v="4"/>
    <x v="1"/>
    <x v="1"/>
    <x v="33"/>
    <x v="0"/>
    <x v="4"/>
    <x v="0"/>
    <n v="20860"/>
  </r>
  <r>
    <s v="CSKU00666_2EK"/>
    <x v="0"/>
    <x v="0"/>
    <x v="0"/>
    <x v="4"/>
    <x v="1"/>
    <x v="1"/>
    <x v="31"/>
    <x v="0"/>
    <x v="4"/>
    <x v="0"/>
    <n v="20860"/>
  </r>
  <r>
    <s v="CSKU00667_2EK"/>
    <x v="0"/>
    <x v="0"/>
    <x v="0"/>
    <x v="4"/>
    <x v="1"/>
    <x v="2"/>
    <x v="31"/>
    <x v="0"/>
    <x v="5"/>
    <x v="0"/>
    <n v="23140"/>
  </r>
  <r>
    <s v="CSKU00779_2EK"/>
    <x v="0"/>
    <x v="0"/>
    <x v="1"/>
    <x v="5"/>
    <x v="3"/>
    <x v="2"/>
    <x v="32"/>
    <x v="1"/>
    <x v="5"/>
    <x v="0"/>
    <n v="29880"/>
  </r>
  <r>
    <s v="CSKU01027_2EK"/>
    <x v="0"/>
    <x v="0"/>
    <x v="0"/>
    <x v="4"/>
    <x v="1"/>
    <x v="2"/>
    <x v="33"/>
    <x v="0"/>
    <x v="5"/>
    <x v="0"/>
    <n v="23140"/>
  </r>
  <r>
    <s v="CSKU01028_2EK"/>
    <x v="0"/>
    <x v="0"/>
    <x v="0"/>
    <x v="4"/>
    <x v="3"/>
    <x v="1"/>
    <x v="33"/>
    <x v="0"/>
    <x v="4"/>
    <x v="0"/>
    <n v="22570"/>
  </r>
  <r>
    <s v="CSKU01029_2EK"/>
    <x v="0"/>
    <x v="0"/>
    <x v="0"/>
    <x v="4"/>
    <x v="3"/>
    <x v="2"/>
    <x v="33"/>
    <x v="0"/>
    <x v="5"/>
    <x v="0"/>
    <n v="25190"/>
  </r>
  <r>
    <s v="CSKU01030_2EK"/>
    <x v="0"/>
    <x v="0"/>
    <x v="0"/>
    <x v="6"/>
    <x v="1"/>
    <x v="1"/>
    <x v="33"/>
    <x v="0"/>
    <x v="4"/>
    <x v="0"/>
    <n v="23870"/>
  </r>
  <r>
    <s v="CSKU01031_2EK"/>
    <x v="0"/>
    <x v="0"/>
    <x v="0"/>
    <x v="6"/>
    <x v="1"/>
    <x v="2"/>
    <x v="33"/>
    <x v="0"/>
    <x v="5"/>
    <x v="0"/>
    <n v="26390"/>
  </r>
  <r>
    <s v="CSKU01032_2EK"/>
    <x v="0"/>
    <x v="0"/>
    <x v="0"/>
    <x v="6"/>
    <x v="3"/>
    <x v="1"/>
    <x v="33"/>
    <x v="0"/>
    <x v="4"/>
    <x v="0"/>
    <n v="25300"/>
  </r>
  <r>
    <s v="CSKU01033_2EK"/>
    <x v="0"/>
    <x v="0"/>
    <x v="0"/>
    <x v="6"/>
    <x v="3"/>
    <x v="2"/>
    <x v="33"/>
    <x v="0"/>
    <x v="5"/>
    <x v="0"/>
    <n v="28760"/>
  </r>
  <r>
    <s v="CSKU01034_2EK"/>
    <x v="0"/>
    <x v="0"/>
    <x v="0"/>
    <x v="5"/>
    <x v="1"/>
    <x v="1"/>
    <x v="33"/>
    <x v="0"/>
    <x v="4"/>
    <x v="0"/>
    <n v="26180"/>
  </r>
  <r>
    <s v="CSKU01035_2EK"/>
    <x v="0"/>
    <x v="0"/>
    <x v="0"/>
    <x v="5"/>
    <x v="1"/>
    <x v="2"/>
    <x v="33"/>
    <x v="0"/>
    <x v="5"/>
    <x v="0"/>
    <n v="28890"/>
  </r>
  <r>
    <s v="CSKU01036_2EK"/>
    <x v="0"/>
    <x v="0"/>
    <x v="0"/>
    <x v="5"/>
    <x v="3"/>
    <x v="1"/>
    <x v="33"/>
    <x v="0"/>
    <x v="4"/>
    <x v="0"/>
    <n v="27800"/>
  </r>
  <r>
    <s v="CSKU01037_2EK"/>
    <x v="0"/>
    <x v="0"/>
    <x v="0"/>
    <x v="5"/>
    <x v="3"/>
    <x v="2"/>
    <x v="33"/>
    <x v="0"/>
    <x v="5"/>
    <x v="0"/>
    <n v="31430"/>
  </r>
  <r>
    <s v="CSKU01038_2EK"/>
    <x v="0"/>
    <x v="0"/>
    <x v="1"/>
    <x v="4"/>
    <x v="1"/>
    <x v="1"/>
    <x v="33"/>
    <x v="1"/>
    <x v="4"/>
    <x v="0"/>
    <n v="19840"/>
  </r>
  <r>
    <s v="CSKU01039_2EK"/>
    <x v="0"/>
    <x v="0"/>
    <x v="1"/>
    <x v="4"/>
    <x v="1"/>
    <x v="2"/>
    <x v="33"/>
    <x v="1"/>
    <x v="5"/>
    <x v="0"/>
    <n v="21880"/>
  </r>
  <r>
    <s v="CSKU01040_2EK"/>
    <x v="0"/>
    <x v="0"/>
    <x v="1"/>
    <x v="4"/>
    <x v="3"/>
    <x v="1"/>
    <x v="33"/>
    <x v="1"/>
    <x v="4"/>
    <x v="0"/>
    <n v="21470"/>
  </r>
  <r>
    <s v="CSKU01041_2EK"/>
    <x v="0"/>
    <x v="0"/>
    <x v="1"/>
    <x v="4"/>
    <x v="3"/>
    <x v="2"/>
    <x v="33"/>
    <x v="1"/>
    <x v="5"/>
    <x v="0"/>
    <n v="23830"/>
  </r>
  <r>
    <s v="CSKU01042_2EK"/>
    <x v="0"/>
    <x v="0"/>
    <x v="1"/>
    <x v="6"/>
    <x v="1"/>
    <x v="1"/>
    <x v="33"/>
    <x v="1"/>
    <x v="4"/>
    <x v="0"/>
    <n v="22780"/>
  </r>
  <r>
    <s v="CSKU01043_2EK"/>
    <x v="0"/>
    <x v="0"/>
    <x v="1"/>
    <x v="6"/>
    <x v="1"/>
    <x v="2"/>
    <x v="33"/>
    <x v="1"/>
    <x v="5"/>
    <x v="0"/>
    <n v="25030"/>
  </r>
  <r>
    <s v="CSKU01044_2EK"/>
    <x v="0"/>
    <x v="0"/>
    <x v="1"/>
    <x v="6"/>
    <x v="3"/>
    <x v="1"/>
    <x v="33"/>
    <x v="1"/>
    <x v="4"/>
    <x v="0"/>
    <n v="24190"/>
  </r>
  <r>
    <s v="CSKU01045_2EK"/>
    <x v="0"/>
    <x v="0"/>
    <x v="1"/>
    <x v="6"/>
    <x v="3"/>
    <x v="2"/>
    <x v="33"/>
    <x v="1"/>
    <x v="5"/>
    <x v="0"/>
    <n v="27270"/>
  </r>
  <r>
    <s v="CSKU01046_2EK"/>
    <x v="0"/>
    <x v="0"/>
    <x v="1"/>
    <x v="5"/>
    <x v="1"/>
    <x v="1"/>
    <x v="33"/>
    <x v="1"/>
    <x v="4"/>
    <x v="0"/>
    <n v="25020"/>
  </r>
  <r>
    <s v="CSKU01047_2EK"/>
    <x v="0"/>
    <x v="0"/>
    <x v="1"/>
    <x v="5"/>
    <x v="1"/>
    <x v="2"/>
    <x v="33"/>
    <x v="1"/>
    <x v="5"/>
    <x v="0"/>
    <n v="27450"/>
  </r>
  <r>
    <s v="CSKU01048_2EK"/>
    <x v="0"/>
    <x v="0"/>
    <x v="1"/>
    <x v="5"/>
    <x v="3"/>
    <x v="1"/>
    <x v="33"/>
    <x v="1"/>
    <x v="4"/>
    <x v="0"/>
    <n v="26610"/>
  </r>
  <r>
    <s v="CSKU00668_2EK"/>
    <x v="0"/>
    <x v="0"/>
    <x v="0"/>
    <x v="4"/>
    <x v="3"/>
    <x v="1"/>
    <x v="31"/>
    <x v="0"/>
    <x v="4"/>
    <x v="0"/>
    <n v="22570"/>
  </r>
  <r>
    <s v="CSKU01049_2EK"/>
    <x v="0"/>
    <x v="0"/>
    <x v="1"/>
    <x v="5"/>
    <x v="3"/>
    <x v="2"/>
    <x v="33"/>
    <x v="1"/>
    <x v="5"/>
    <x v="0"/>
    <n v="29880"/>
  </r>
  <r>
    <s v="CSKU00216_2EK"/>
    <x v="0"/>
    <x v="0"/>
    <x v="0"/>
    <x v="4"/>
    <x v="1"/>
    <x v="1"/>
    <x v="34"/>
    <x v="0"/>
    <x v="4"/>
    <x v="0"/>
    <n v="17180"/>
  </r>
  <r>
    <s v="CSKU00217_2EK"/>
    <x v="0"/>
    <x v="0"/>
    <x v="0"/>
    <x v="4"/>
    <x v="1"/>
    <x v="2"/>
    <x v="34"/>
    <x v="0"/>
    <x v="5"/>
    <x v="0"/>
    <n v="19460"/>
  </r>
  <r>
    <s v="CSKU00218_2EK"/>
    <x v="0"/>
    <x v="0"/>
    <x v="0"/>
    <x v="4"/>
    <x v="3"/>
    <x v="1"/>
    <x v="34"/>
    <x v="0"/>
    <x v="4"/>
    <x v="0"/>
    <n v="18630"/>
  </r>
  <r>
    <s v="CSKU00219_2EK"/>
    <x v="0"/>
    <x v="0"/>
    <x v="0"/>
    <x v="4"/>
    <x v="3"/>
    <x v="2"/>
    <x v="34"/>
    <x v="0"/>
    <x v="5"/>
    <x v="0"/>
    <n v="21250"/>
  </r>
  <r>
    <s v="CSKU00220_2EK"/>
    <x v="0"/>
    <x v="0"/>
    <x v="0"/>
    <x v="6"/>
    <x v="1"/>
    <x v="1"/>
    <x v="34"/>
    <x v="0"/>
    <x v="4"/>
    <x v="0"/>
    <n v="19530"/>
  </r>
  <r>
    <s v="CSKU00221_2EK"/>
    <x v="0"/>
    <x v="0"/>
    <x v="0"/>
    <x v="6"/>
    <x v="1"/>
    <x v="2"/>
    <x v="34"/>
    <x v="0"/>
    <x v="5"/>
    <x v="0"/>
    <n v="22050"/>
  </r>
  <r>
    <s v="CSKU00222_2EK"/>
    <x v="0"/>
    <x v="0"/>
    <x v="0"/>
    <x v="6"/>
    <x v="3"/>
    <x v="1"/>
    <x v="34"/>
    <x v="0"/>
    <x v="4"/>
    <x v="0"/>
    <n v="20750"/>
  </r>
  <r>
    <s v="CSKU00223_2EK"/>
    <x v="0"/>
    <x v="0"/>
    <x v="0"/>
    <x v="6"/>
    <x v="3"/>
    <x v="2"/>
    <x v="34"/>
    <x v="0"/>
    <x v="5"/>
    <x v="0"/>
    <n v="24210"/>
  </r>
  <r>
    <s v="CSKU00224_2EK"/>
    <x v="0"/>
    <x v="0"/>
    <x v="0"/>
    <x v="5"/>
    <x v="1"/>
    <x v="1"/>
    <x v="34"/>
    <x v="0"/>
    <x v="4"/>
    <x v="0"/>
    <n v="21950"/>
  </r>
  <r>
    <s v="CSKU00225_2EK"/>
    <x v="0"/>
    <x v="0"/>
    <x v="0"/>
    <x v="5"/>
    <x v="1"/>
    <x v="2"/>
    <x v="34"/>
    <x v="0"/>
    <x v="5"/>
    <x v="0"/>
    <n v="24660"/>
  </r>
  <r>
    <s v="CSKU00226_2EK"/>
    <x v="0"/>
    <x v="0"/>
    <x v="0"/>
    <x v="5"/>
    <x v="3"/>
    <x v="1"/>
    <x v="34"/>
    <x v="0"/>
    <x v="4"/>
    <x v="0"/>
    <n v="23150"/>
  </r>
  <r>
    <s v="CSKU00133_2EK"/>
    <x v="0"/>
    <x v="0"/>
    <x v="0"/>
    <x v="6"/>
    <x v="3"/>
    <x v="2"/>
    <x v="35"/>
    <x v="0"/>
    <x v="5"/>
    <x v="0"/>
    <n v="24000"/>
  </r>
  <r>
    <s v="CSKU00134_2EK"/>
    <x v="0"/>
    <x v="0"/>
    <x v="0"/>
    <x v="5"/>
    <x v="1"/>
    <x v="1"/>
    <x v="35"/>
    <x v="0"/>
    <x v="4"/>
    <x v="0"/>
    <n v="21630"/>
  </r>
  <r>
    <s v="CSKU00227_2EK"/>
    <x v="0"/>
    <x v="0"/>
    <x v="0"/>
    <x v="5"/>
    <x v="3"/>
    <x v="2"/>
    <x v="34"/>
    <x v="0"/>
    <x v="5"/>
    <x v="0"/>
    <n v="26780"/>
  </r>
  <r>
    <s v="CSKU00228_2EK"/>
    <x v="0"/>
    <x v="0"/>
    <x v="1"/>
    <x v="4"/>
    <x v="1"/>
    <x v="1"/>
    <x v="34"/>
    <x v="1"/>
    <x v="4"/>
    <x v="0"/>
    <n v="15780"/>
  </r>
  <r>
    <s v="CSKU00229_2EK"/>
    <x v="0"/>
    <x v="0"/>
    <x v="1"/>
    <x v="4"/>
    <x v="1"/>
    <x v="2"/>
    <x v="34"/>
    <x v="1"/>
    <x v="5"/>
    <x v="0"/>
    <n v="17820"/>
  </r>
  <r>
    <s v="CSKU00230_2EK"/>
    <x v="0"/>
    <x v="0"/>
    <x v="1"/>
    <x v="4"/>
    <x v="3"/>
    <x v="1"/>
    <x v="34"/>
    <x v="1"/>
    <x v="4"/>
    <x v="0"/>
    <n v="17110"/>
  </r>
  <r>
    <s v="CSKU00231_2EK"/>
    <x v="0"/>
    <x v="0"/>
    <x v="1"/>
    <x v="4"/>
    <x v="3"/>
    <x v="2"/>
    <x v="34"/>
    <x v="1"/>
    <x v="5"/>
    <x v="0"/>
    <n v="19470"/>
  </r>
  <r>
    <s v="CSKU00232_2EK"/>
    <x v="0"/>
    <x v="0"/>
    <x v="1"/>
    <x v="6"/>
    <x v="1"/>
    <x v="1"/>
    <x v="34"/>
    <x v="1"/>
    <x v="4"/>
    <x v="0"/>
    <n v="17960"/>
  </r>
  <r>
    <s v="CSKU00233_2EK"/>
    <x v="0"/>
    <x v="0"/>
    <x v="1"/>
    <x v="6"/>
    <x v="1"/>
    <x v="2"/>
    <x v="34"/>
    <x v="1"/>
    <x v="5"/>
    <x v="0"/>
    <n v="20210"/>
  </r>
  <r>
    <s v="CSKU00234_2EK"/>
    <x v="0"/>
    <x v="0"/>
    <x v="1"/>
    <x v="6"/>
    <x v="3"/>
    <x v="1"/>
    <x v="34"/>
    <x v="1"/>
    <x v="4"/>
    <x v="0"/>
    <n v="19090"/>
  </r>
  <r>
    <s v="CSKU00235_2EK"/>
    <x v="0"/>
    <x v="0"/>
    <x v="1"/>
    <x v="6"/>
    <x v="3"/>
    <x v="2"/>
    <x v="34"/>
    <x v="1"/>
    <x v="5"/>
    <x v="0"/>
    <n v="22170"/>
  </r>
  <r>
    <s v="CSKU00236_2EK"/>
    <x v="0"/>
    <x v="0"/>
    <x v="1"/>
    <x v="5"/>
    <x v="1"/>
    <x v="1"/>
    <x v="34"/>
    <x v="1"/>
    <x v="4"/>
    <x v="0"/>
    <n v="20200"/>
  </r>
  <r>
    <s v="CSKU00237_2EK"/>
    <x v="0"/>
    <x v="0"/>
    <x v="1"/>
    <x v="5"/>
    <x v="1"/>
    <x v="2"/>
    <x v="34"/>
    <x v="1"/>
    <x v="5"/>
    <x v="0"/>
    <n v="22630"/>
  </r>
  <r>
    <s v="CSKU00238_2EK"/>
    <x v="0"/>
    <x v="0"/>
    <x v="1"/>
    <x v="5"/>
    <x v="3"/>
    <x v="1"/>
    <x v="34"/>
    <x v="1"/>
    <x v="4"/>
    <x v="0"/>
    <n v="21330"/>
  </r>
  <r>
    <s v="CSKU00239_2EK"/>
    <x v="0"/>
    <x v="0"/>
    <x v="1"/>
    <x v="5"/>
    <x v="3"/>
    <x v="2"/>
    <x v="34"/>
    <x v="1"/>
    <x v="5"/>
    <x v="0"/>
    <n v="24600"/>
  </r>
  <r>
    <s v="CSKU00669_2EK"/>
    <x v="0"/>
    <x v="0"/>
    <x v="0"/>
    <x v="4"/>
    <x v="3"/>
    <x v="2"/>
    <x v="31"/>
    <x v="0"/>
    <x v="5"/>
    <x v="0"/>
    <n v="25190"/>
  </r>
  <r>
    <s v="CSKU00670_2EK"/>
    <x v="0"/>
    <x v="0"/>
    <x v="0"/>
    <x v="6"/>
    <x v="1"/>
    <x v="1"/>
    <x v="31"/>
    <x v="0"/>
    <x v="4"/>
    <x v="0"/>
    <n v="23870"/>
  </r>
  <r>
    <s v="CSKU00671_2EK"/>
    <x v="0"/>
    <x v="0"/>
    <x v="0"/>
    <x v="6"/>
    <x v="1"/>
    <x v="2"/>
    <x v="31"/>
    <x v="0"/>
    <x v="5"/>
    <x v="0"/>
    <n v="26390"/>
  </r>
  <r>
    <s v="CSKU00672_2EK"/>
    <x v="0"/>
    <x v="0"/>
    <x v="0"/>
    <x v="6"/>
    <x v="3"/>
    <x v="1"/>
    <x v="31"/>
    <x v="0"/>
    <x v="4"/>
    <x v="0"/>
    <n v="25300"/>
  </r>
  <r>
    <s v="CSKU00673_2EK"/>
    <x v="0"/>
    <x v="0"/>
    <x v="0"/>
    <x v="6"/>
    <x v="3"/>
    <x v="2"/>
    <x v="31"/>
    <x v="0"/>
    <x v="5"/>
    <x v="0"/>
    <n v="28760"/>
  </r>
  <r>
    <s v="CSKU00674_2EK"/>
    <x v="0"/>
    <x v="0"/>
    <x v="0"/>
    <x v="5"/>
    <x v="1"/>
    <x v="1"/>
    <x v="31"/>
    <x v="0"/>
    <x v="4"/>
    <x v="0"/>
    <n v="26180"/>
  </r>
  <r>
    <s v="CSKU00675_2EK"/>
    <x v="0"/>
    <x v="0"/>
    <x v="0"/>
    <x v="5"/>
    <x v="1"/>
    <x v="2"/>
    <x v="31"/>
    <x v="0"/>
    <x v="5"/>
    <x v="0"/>
    <n v="28890"/>
  </r>
  <r>
    <s v="CSKU00676_2EK"/>
    <x v="0"/>
    <x v="0"/>
    <x v="0"/>
    <x v="5"/>
    <x v="3"/>
    <x v="1"/>
    <x v="31"/>
    <x v="0"/>
    <x v="4"/>
    <x v="0"/>
    <n v="27800"/>
  </r>
  <r>
    <s v="CSKU00677_2EK"/>
    <x v="0"/>
    <x v="0"/>
    <x v="0"/>
    <x v="5"/>
    <x v="3"/>
    <x v="2"/>
    <x v="31"/>
    <x v="0"/>
    <x v="5"/>
    <x v="0"/>
    <n v="31430"/>
  </r>
  <r>
    <s v="CSKU00678_2EK"/>
    <x v="0"/>
    <x v="0"/>
    <x v="1"/>
    <x v="4"/>
    <x v="1"/>
    <x v="1"/>
    <x v="31"/>
    <x v="1"/>
    <x v="4"/>
    <x v="0"/>
    <n v="19840"/>
  </r>
  <r>
    <s v="CSKU00679_2EK"/>
    <x v="0"/>
    <x v="0"/>
    <x v="1"/>
    <x v="4"/>
    <x v="1"/>
    <x v="2"/>
    <x v="31"/>
    <x v="1"/>
    <x v="5"/>
    <x v="0"/>
    <n v="21880"/>
  </r>
  <r>
    <s v="CSKU00680_2EK"/>
    <x v="0"/>
    <x v="0"/>
    <x v="1"/>
    <x v="4"/>
    <x v="3"/>
    <x v="1"/>
    <x v="31"/>
    <x v="1"/>
    <x v="4"/>
    <x v="0"/>
    <n v="21470"/>
  </r>
  <r>
    <s v="CSKU00681_2EK"/>
    <x v="0"/>
    <x v="0"/>
    <x v="1"/>
    <x v="4"/>
    <x v="3"/>
    <x v="2"/>
    <x v="31"/>
    <x v="1"/>
    <x v="5"/>
    <x v="0"/>
    <n v="23830"/>
  </r>
  <r>
    <s v="CSKU00682_2EK"/>
    <x v="0"/>
    <x v="0"/>
    <x v="1"/>
    <x v="6"/>
    <x v="1"/>
    <x v="1"/>
    <x v="31"/>
    <x v="1"/>
    <x v="4"/>
    <x v="0"/>
    <n v="22780"/>
  </r>
  <r>
    <s v="CSKU00683_2EK"/>
    <x v="0"/>
    <x v="0"/>
    <x v="1"/>
    <x v="6"/>
    <x v="1"/>
    <x v="2"/>
    <x v="31"/>
    <x v="1"/>
    <x v="5"/>
    <x v="0"/>
    <n v="25030"/>
  </r>
  <r>
    <s v="CSKU00486_2EK"/>
    <x v="0"/>
    <x v="0"/>
    <x v="0"/>
    <x v="4"/>
    <x v="1"/>
    <x v="1"/>
    <x v="36"/>
    <x v="0"/>
    <x v="4"/>
    <x v="0"/>
    <n v="20860"/>
  </r>
  <r>
    <s v="CSKU00487_2EK"/>
    <x v="0"/>
    <x v="0"/>
    <x v="0"/>
    <x v="4"/>
    <x v="1"/>
    <x v="2"/>
    <x v="36"/>
    <x v="0"/>
    <x v="5"/>
    <x v="0"/>
    <n v="23140"/>
  </r>
  <r>
    <s v="CSKU00488_2EK"/>
    <x v="0"/>
    <x v="0"/>
    <x v="0"/>
    <x v="4"/>
    <x v="3"/>
    <x v="1"/>
    <x v="36"/>
    <x v="0"/>
    <x v="4"/>
    <x v="0"/>
    <n v="22570"/>
  </r>
  <r>
    <s v="CSKU00489_2EK"/>
    <x v="0"/>
    <x v="0"/>
    <x v="0"/>
    <x v="4"/>
    <x v="3"/>
    <x v="2"/>
    <x v="36"/>
    <x v="0"/>
    <x v="5"/>
    <x v="0"/>
    <n v="25190"/>
  </r>
  <r>
    <s v="CSKU00490_2EK"/>
    <x v="0"/>
    <x v="0"/>
    <x v="0"/>
    <x v="6"/>
    <x v="1"/>
    <x v="1"/>
    <x v="36"/>
    <x v="0"/>
    <x v="4"/>
    <x v="0"/>
    <n v="23870"/>
  </r>
  <r>
    <s v="CSKU00491_2EK"/>
    <x v="0"/>
    <x v="0"/>
    <x v="0"/>
    <x v="6"/>
    <x v="1"/>
    <x v="2"/>
    <x v="36"/>
    <x v="0"/>
    <x v="5"/>
    <x v="0"/>
    <n v="26390"/>
  </r>
  <r>
    <s v="CSKU00492_2EK"/>
    <x v="0"/>
    <x v="0"/>
    <x v="0"/>
    <x v="6"/>
    <x v="3"/>
    <x v="1"/>
    <x v="36"/>
    <x v="0"/>
    <x v="4"/>
    <x v="0"/>
    <n v="25300"/>
  </r>
  <r>
    <s v="CSKU00493_2EK"/>
    <x v="0"/>
    <x v="0"/>
    <x v="0"/>
    <x v="6"/>
    <x v="3"/>
    <x v="2"/>
    <x v="36"/>
    <x v="0"/>
    <x v="5"/>
    <x v="0"/>
    <n v="28760"/>
  </r>
  <r>
    <s v="CSKU00494_2EK"/>
    <x v="0"/>
    <x v="0"/>
    <x v="0"/>
    <x v="5"/>
    <x v="1"/>
    <x v="1"/>
    <x v="36"/>
    <x v="0"/>
    <x v="4"/>
    <x v="0"/>
    <n v="26180"/>
  </r>
  <r>
    <s v="CSKU00495_2EK"/>
    <x v="0"/>
    <x v="0"/>
    <x v="0"/>
    <x v="5"/>
    <x v="1"/>
    <x v="2"/>
    <x v="36"/>
    <x v="0"/>
    <x v="5"/>
    <x v="0"/>
    <n v="28890"/>
  </r>
  <r>
    <s v="CSKU00496_2EK"/>
    <x v="0"/>
    <x v="0"/>
    <x v="0"/>
    <x v="5"/>
    <x v="3"/>
    <x v="1"/>
    <x v="36"/>
    <x v="0"/>
    <x v="4"/>
    <x v="0"/>
    <n v="27800"/>
  </r>
  <r>
    <s v="CSKU00497_2EK"/>
    <x v="0"/>
    <x v="0"/>
    <x v="0"/>
    <x v="5"/>
    <x v="3"/>
    <x v="2"/>
    <x v="36"/>
    <x v="0"/>
    <x v="5"/>
    <x v="0"/>
    <n v="31430"/>
  </r>
  <r>
    <s v="CSKU00498_2EK"/>
    <x v="0"/>
    <x v="0"/>
    <x v="1"/>
    <x v="4"/>
    <x v="1"/>
    <x v="1"/>
    <x v="36"/>
    <x v="1"/>
    <x v="4"/>
    <x v="0"/>
    <n v="19840"/>
  </r>
  <r>
    <s v="CSKU00499_2EK"/>
    <x v="0"/>
    <x v="0"/>
    <x v="1"/>
    <x v="4"/>
    <x v="1"/>
    <x v="2"/>
    <x v="36"/>
    <x v="1"/>
    <x v="5"/>
    <x v="0"/>
    <n v="21880"/>
  </r>
  <r>
    <s v="CSKU00500_2EK"/>
    <x v="0"/>
    <x v="0"/>
    <x v="1"/>
    <x v="4"/>
    <x v="3"/>
    <x v="1"/>
    <x v="36"/>
    <x v="1"/>
    <x v="4"/>
    <x v="0"/>
    <n v="21470"/>
  </r>
  <r>
    <s v="CSKU00501_2EK"/>
    <x v="0"/>
    <x v="0"/>
    <x v="1"/>
    <x v="4"/>
    <x v="3"/>
    <x v="2"/>
    <x v="36"/>
    <x v="1"/>
    <x v="5"/>
    <x v="0"/>
    <n v="23830"/>
  </r>
  <r>
    <s v="CSKU00502_2EK"/>
    <x v="0"/>
    <x v="0"/>
    <x v="1"/>
    <x v="6"/>
    <x v="1"/>
    <x v="1"/>
    <x v="36"/>
    <x v="1"/>
    <x v="4"/>
    <x v="0"/>
    <n v="22780"/>
  </r>
  <r>
    <s v="CSKU00503_2EK"/>
    <x v="0"/>
    <x v="0"/>
    <x v="1"/>
    <x v="6"/>
    <x v="1"/>
    <x v="2"/>
    <x v="36"/>
    <x v="1"/>
    <x v="5"/>
    <x v="0"/>
    <n v="25030"/>
  </r>
  <r>
    <s v="CSKU00504_2EK"/>
    <x v="0"/>
    <x v="0"/>
    <x v="1"/>
    <x v="6"/>
    <x v="3"/>
    <x v="1"/>
    <x v="36"/>
    <x v="1"/>
    <x v="4"/>
    <x v="0"/>
    <n v="24190"/>
  </r>
  <r>
    <s v="CSKU00505_2EK"/>
    <x v="0"/>
    <x v="0"/>
    <x v="1"/>
    <x v="6"/>
    <x v="3"/>
    <x v="2"/>
    <x v="36"/>
    <x v="1"/>
    <x v="5"/>
    <x v="0"/>
    <n v="27270"/>
  </r>
  <r>
    <s v="CSKU00506_2EK"/>
    <x v="0"/>
    <x v="0"/>
    <x v="1"/>
    <x v="5"/>
    <x v="1"/>
    <x v="1"/>
    <x v="36"/>
    <x v="1"/>
    <x v="4"/>
    <x v="0"/>
    <n v="25020"/>
  </r>
  <r>
    <s v="CSKU00507_2EK"/>
    <x v="0"/>
    <x v="0"/>
    <x v="1"/>
    <x v="5"/>
    <x v="1"/>
    <x v="2"/>
    <x v="36"/>
    <x v="1"/>
    <x v="5"/>
    <x v="0"/>
    <n v="27450"/>
  </r>
  <r>
    <s v="CSKU00508_2EK"/>
    <x v="0"/>
    <x v="0"/>
    <x v="1"/>
    <x v="5"/>
    <x v="3"/>
    <x v="1"/>
    <x v="36"/>
    <x v="1"/>
    <x v="4"/>
    <x v="0"/>
    <n v="26610"/>
  </r>
  <r>
    <s v="CSKU00509_2EK"/>
    <x v="0"/>
    <x v="0"/>
    <x v="1"/>
    <x v="5"/>
    <x v="3"/>
    <x v="2"/>
    <x v="36"/>
    <x v="1"/>
    <x v="5"/>
    <x v="0"/>
    <n v="29880"/>
  </r>
  <r>
    <s v="CSKU00126_2EK"/>
    <x v="0"/>
    <x v="0"/>
    <x v="0"/>
    <x v="4"/>
    <x v="1"/>
    <x v="1"/>
    <x v="35"/>
    <x v="0"/>
    <x v="4"/>
    <x v="0"/>
    <n v="16660"/>
  </r>
  <r>
    <s v="CSKU00127_2EK"/>
    <x v="0"/>
    <x v="0"/>
    <x v="0"/>
    <x v="4"/>
    <x v="1"/>
    <x v="2"/>
    <x v="35"/>
    <x v="0"/>
    <x v="5"/>
    <x v="0"/>
    <n v="18940"/>
  </r>
  <r>
    <s v="CSKU00128_2EK"/>
    <x v="0"/>
    <x v="0"/>
    <x v="0"/>
    <x v="4"/>
    <x v="3"/>
    <x v="1"/>
    <x v="35"/>
    <x v="0"/>
    <x v="4"/>
    <x v="0"/>
    <n v="18000"/>
  </r>
  <r>
    <s v="CSKU00129_2EK"/>
    <x v="0"/>
    <x v="0"/>
    <x v="0"/>
    <x v="4"/>
    <x v="3"/>
    <x v="2"/>
    <x v="35"/>
    <x v="0"/>
    <x v="5"/>
    <x v="0"/>
    <n v="20620"/>
  </r>
  <r>
    <s v="CSKU00130_2EK"/>
    <x v="0"/>
    <x v="0"/>
    <x v="0"/>
    <x v="6"/>
    <x v="1"/>
    <x v="1"/>
    <x v="35"/>
    <x v="0"/>
    <x v="4"/>
    <x v="0"/>
    <n v="19260"/>
  </r>
  <r>
    <s v="CSKU00131_2EK"/>
    <x v="0"/>
    <x v="0"/>
    <x v="0"/>
    <x v="6"/>
    <x v="1"/>
    <x v="2"/>
    <x v="35"/>
    <x v="0"/>
    <x v="5"/>
    <x v="0"/>
    <n v="21780"/>
  </r>
  <r>
    <s v="CSKU00132_2EK"/>
    <x v="0"/>
    <x v="0"/>
    <x v="0"/>
    <x v="6"/>
    <x v="3"/>
    <x v="1"/>
    <x v="35"/>
    <x v="0"/>
    <x v="4"/>
    <x v="0"/>
    <n v="20540"/>
  </r>
  <r>
    <m/>
    <x v="0"/>
    <x v="1"/>
    <x v="1"/>
    <x v="2"/>
    <x v="2"/>
    <x v="3"/>
    <x v="37"/>
    <x v="1"/>
    <x v="3"/>
    <x v="0"/>
    <n v="29550"/>
  </r>
  <r>
    <m/>
    <x v="0"/>
    <x v="1"/>
    <x v="1"/>
    <x v="2"/>
    <x v="2"/>
    <x v="3"/>
    <x v="38"/>
    <x v="1"/>
    <x v="3"/>
    <x v="0"/>
    <n v="29550"/>
  </r>
  <r>
    <m/>
    <x v="0"/>
    <x v="1"/>
    <x v="1"/>
    <x v="2"/>
    <x v="2"/>
    <x v="3"/>
    <x v="39"/>
    <x v="1"/>
    <x v="3"/>
    <x v="0"/>
    <n v="29550"/>
  </r>
  <r>
    <m/>
    <x v="0"/>
    <x v="1"/>
    <x v="1"/>
    <x v="2"/>
    <x v="2"/>
    <x v="3"/>
    <x v="40"/>
    <x v="1"/>
    <x v="3"/>
    <x v="0"/>
    <n v="29550"/>
  </r>
  <r>
    <m/>
    <x v="0"/>
    <x v="1"/>
    <x v="1"/>
    <x v="2"/>
    <x v="2"/>
    <x v="3"/>
    <x v="41"/>
    <x v="1"/>
    <x v="3"/>
    <x v="0"/>
    <n v="29550"/>
  </r>
  <r>
    <m/>
    <x v="0"/>
    <x v="1"/>
    <x v="1"/>
    <x v="2"/>
    <x v="2"/>
    <x v="3"/>
    <x v="42"/>
    <x v="1"/>
    <x v="3"/>
    <x v="0"/>
    <n v="29550"/>
  </r>
  <r>
    <m/>
    <x v="0"/>
    <x v="1"/>
    <x v="1"/>
    <x v="2"/>
    <x v="2"/>
    <x v="3"/>
    <x v="43"/>
    <x v="1"/>
    <x v="3"/>
    <x v="0"/>
    <n v="29550"/>
  </r>
  <r>
    <m/>
    <x v="0"/>
    <x v="1"/>
    <x v="1"/>
    <x v="2"/>
    <x v="2"/>
    <x v="3"/>
    <x v="44"/>
    <x v="1"/>
    <x v="3"/>
    <x v="0"/>
    <n v="29550"/>
  </r>
  <r>
    <m/>
    <x v="0"/>
    <x v="1"/>
    <x v="1"/>
    <x v="2"/>
    <x v="2"/>
    <x v="3"/>
    <x v="45"/>
    <x v="1"/>
    <x v="3"/>
    <x v="0"/>
    <n v="29550"/>
  </r>
  <r>
    <m/>
    <x v="0"/>
    <x v="1"/>
    <x v="1"/>
    <x v="2"/>
    <x v="2"/>
    <x v="3"/>
    <x v="46"/>
    <x v="1"/>
    <x v="3"/>
    <x v="0"/>
    <n v="29550"/>
  </r>
  <r>
    <m/>
    <x v="0"/>
    <x v="1"/>
    <x v="1"/>
    <x v="2"/>
    <x v="2"/>
    <x v="3"/>
    <x v="4"/>
    <x v="1"/>
    <x v="3"/>
    <x v="0"/>
    <n v="29550"/>
  </r>
  <r>
    <m/>
    <x v="0"/>
    <x v="1"/>
    <x v="1"/>
    <x v="2"/>
    <x v="2"/>
    <x v="3"/>
    <x v="47"/>
    <x v="1"/>
    <x v="3"/>
    <x v="0"/>
    <n v="29550"/>
  </r>
  <r>
    <m/>
    <x v="0"/>
    <x v="1"/>
    <x v="1"/>
    <x v="2"/>
    <x v="2"/>
    <x v="3"/>
    <x v="48"/>
    <x v="1"/>
    <x v="3"/>
    <x v="0"/>
    <n v="29550"/>
  </r>
  <r>
    <m/>
    <x v="0"/>
    <x v="1"/>
    <x v="1"/>
    <x v="2"/>
    <x v="2"/>
    <x v="4"/>
    <x v="49"/>
    <x v="1"/>
    <x v="3"/>
    <x v="0"/>
    <n v="34740"/>
  </r>
  <r>
    <m/>
    <x v="0"/>
    <x v="1"/>
    <x v="1"/>
    <x v="0"/>
    <x v="2"/>
    <x v="4"/>
    <x v="40"/>
    <x v="1"/>
    <x v="3"/>
    <x v="0"/>
    <n v="32560"/>
  </r>
  <r>
    <m/>
    <x v="0"/>
    <x v="1"/>
    <x v="1"/>
    <x v="0"/>
    <x v="2"/>
    <x v="4"/>
    <x v="41"/>
    <x v="1"/>
    <x v="3"/>
    <x v="0"/>
    <n v="32560"/>
  </r>
  <r>
    <m/>
    <x v="0"/>
    <x v="1"/>
    <x v="1"/>
    <x v="2"/>
    <x v="2"/>
    <x v="4"/>
    <x v="50"/>
    <x v="1"/>
    <x v="3"/>
    <x v="0"/>
    <n v="34740"/>
  </r>
  <r>
    <m/>
    <x v="0"/>
    <x v="1"/>
    <x v="1"/>
    <x v="2"/>
    <x v="2"/>
    <x v="4"/>
    <x v="51"/>
    <x v="1"/>
    <x v="3"/>
    <x v="0"/>
    <n v="34740"/>
  </r>
  <r>
    <m/>
    <x v="0"/>
    <x v="1"/>
    <x v="1"/>
    <x v="2"/>
    <x v="2"/>
    <x v="4"/>
    <x v="52"/>
    <x v="1"/>
    <x v="3"/>
    <x v="0"/>
    <n v="34740"/>
  </r>
  <r>
    <m/>
    <x v="0"/>
    <x v="1"/>
    <x v="1"/>
    <x v="2"/>
    <x v="2"/>
    <x v="4"/>
    <x v="53"/>
    <x v="1"/>
    <x v="3"/>
    <x v="0"/>
    <n v="34740"/>
  </r>
  <r>
    <m/>
    <x v="0"/>
    <x v="1"/>
    <x v="1"/>
    <x v="2"/>
    <x v="2"/>
    <x v="4"/>
    <x v="6"/>
    <x v="1"/>
    <x v="3"/>
    <x v="0"/>
    <n v="34740"/>
  </r>
  <r>
    <m/>
    <x v="0"/>
    <x v="1"/>
    <x v="1"/>
    <x v="2"/>
    <x v="2"/>
    <x v="4"/>
    <x v="37"/>
    <x v="1"/>
    <x v="3"/>
    <x v="0"/>
    <n v="34740"/>
  </r>
  <r>
    <m/>
    <x v="0"/>
    <x v="1"/>
    <x v="1"/>
    <x v="2"/>
    <x v="2"/>
    <x v="4"/>
    <x v="38"/>
    <x v="1"/>
    <x v="3"/>
    <x v="0"/>
    <n v="34740"/>
  </r>
  <r>
    <m/>
    <x v="0"/>
    <x v="1"/>
    <x v="1"/>
    <x v="2"/>
    <x v="2"/>
    <x v="4"/>
    <x v="39"/>
    <x v="1"/>
    <x v="3"/>
    <x v="0"/>
    <n v="34740"/>
  </r>
  <r>
    <m/>
    <x v="0"/>
    <x v="1"/>
    <x v="1"/>
    <x v="2"/>
    <x v="2"/>
    <x v="4"/>
    <x v="40"/>
    <x v="1"/>
    <x v="3"/>
    <x v="0"/>
    <n v="34740"/>
  </r>
  <r>
    <m/>
    <x v="0"/>
    <x v="1"/>
    <x v="1"/>
    <x v="2"/>
    <x v="2"/>
    <x v="4"/>
    <x v="41"/>
    <x v="1"/>
    <x v="3"/>
    <x v="0"/>
    <n v="34740"/>
  </r>
  <r>
    <m/>
    <x v="0"/>
    <x v="1"/>
    <x v="1"/>
    <x v="2"/>
    <x v="2"/>
    <x v="4"/>
    <x v="42"/>
    <x v="1"/>
    <x v="3"/>
    <x v="0"/>
    <n v="34740"/>
  </r>
  <r>
    <m/>
    <x v="0"/>
    <x v="1"/>
    <x v="1"/>
    <x v="2"/>
    <x v="2"/>
    <x v="4"/>
    <x v="43"/>
    <x v="1"/>
    <x v="3"/>
    <x v="0"/>
    <n v="34740"/>
  </r>
  <r>
    <m/>
    <x v="0"/>
    <x v="1"/>
    <x v="1"/>
    <x v="2"/>
    <x v="2"/>
    <x v="4"/>
    <x v="44"/>
    <x v="1"/>
    <x v="3"/>
    <x v="0"/>
    <n v="34740"/>
  </r>
  <r>
    <m/>
    <x v="0"/>
    <x v="1"/>
    <x v="1"/>
    <x v="2"/>
    <x v="2"/>
    <x v="4"/>
    <x v="45"/>
    <x v="1"/>
    <x v="3"/>
    <x v="0"/>
    <n v="34740"/>
  </r>
  <r>
    <m/>
    <x v="0"/>
    <x v="1"/>
    <x v="1"/>
    <x v="2"/>
    <x v="2"/>
    <x v="4"/>
    <x v="46"/>
    <x v="1"/>
    <x v="3"/>
    <x v="0"/>
    <n v="34740"/>
  </r>
  <r>
    <m/>
    <x v="0"/>
    <x v="1"/>
    <x v="1"/>
    <x v="3"/>
    <x v="3"/>
    <x v="1"/>
    <x v="54"/>
    <x v="1"/>
    <x v="3"/>
    <x v="0"/>
    <n v="25420"/>
  </r>
  <r>
    <m/>
    <x v="0"/>
    <x v="1"/>
    <x v="1"/>
    <x v="3"/>
    <x v="3"/>
    <x v="1"/>
    <x v="3"/>
    <x v="1"/>
    <x v="3"/>
    <x v="0"/>
    <n v="26180"/>
  </r>
  <r>
    <m/>
    <x v="0"/>
    <x v="1"/>
    <x v="1"/>
    <x v="3"/>
    <x v="3"/>
    <x v="2"/>
    <x v="55"/>
    <x v="1"/>
    <x v="2"/>
    <x v="0"/>
    <n v="31690"/>
  </r>
  <r>
    <m/>
    <x v="0"/>
    <x v="1"/>
    <x v="1"/>
    <x v="3"/>
    <x v="3"/>
    <x v="2"/>
    <x v="5"/>
    <x v="1"/>
    <x v="2"/>
    <x v="0"/>
    <n v="30930"/>
  </r>
  <r>
    <m/>
    <x v="0"/>
    <x v="1"/>
    <x v="1"/>
    <x v="3"/>
    <x v="3"/>
    <x v="2"/>
    <x v="54"/>
    <x v="1"/>
    <x v="2"/>
    <x v="0"/>
    <n v="29410"/>
  </r>
  <r>
    <m/>
    <x v="0"/>
    <x v="1"/>
    <x v="1"/>
    <x v="3"/>
    <x v="3"/>
    <x v="2"/>
    <x v="3"/>
    <x v="1"/>
    <x v="2"/>
    <x v="0"/>
    <n v="30170"/>
  </r>
  <r>
    <m/>
    <x v="0"/>
    <x v="1"/>
    <x v="1"/>
    <x v="0"/>
    <x v="2"/>
    <x v="3"/>
    <x v="49"/>
    <x v="1"/>
    <x v="3"/>
    <x v="0"/>
    <n v="27730"/>
  </r>
  <r>
    <m/>
    <x v="0"/>
    <x v="1"/>
    <x v="1"/>
    <x v="0"/>
    <x v="2"/>
    <x v="3"/>
    <x v="50"/>
    <x v="1"/>
    <x v="3"/>
    <x v="0"/>
    <n v="27730"/>
  </r>
  <r>
    <m/>
    <x v="0"/>
    <x v="1"/>
    <x v="1"/>
    <x v="0"/>
    <x v="2"/>
    <x v="3"/>
    <x v="51"/>
    <x v="1"/>
    <x v="3"/>
    <x v="0"/>
    <n v="27730"/>
  </r>
  <r>
    <m/>
    <x v="0"/>
    <x v="1"/>
    <x v="1"/>
    <x v="0"/>
    <x v="2"/>
    <x v="3"/>
    <x v="52"/>
    <x v="1"/>
    <x v="3"/>
    <x v="0"/>
    <n v="27730"/>
  </r>
  <r>
    <m/>
    <x v="0"/>
    <x v="1"/>
    <x v="1"/>
    <x v="0"/>
    <x v="2"/>
    <x v="3"/>
    <x v="53"/>
    <x v="1"/>
    <x v="3"/>
    <x v="0"/>
    <n v="27730"/>
  </r>
  <r>
    <m/>
    <x v="0"/>
    <x v="1"/>
    <x v="1"/>
    <x v="0"/>
    <x v="2"/>
    <x v="3"/>
    <x v="6"/>
    <x v="1"/>
    <x v="3"/>
    <x v="0"/>
    <n v="27730"/>
  </r>
  <r>
    <m/>
    <x v="0"/>
    <x v="1"/>
    <x v="1"/>
    <x v="2"/>
    <x v="0"/>
    <x v="3"/>
    <x v="51"/>
    <x v="1"/>
    <x v="2"/>
    <x v="0"/>
    <n v="33320"/>
  </r>
  <r>
    <m/>
    <x v="0"/>
    <x v="1"/>
    <x v="1"/>
    <x v="2"/>
    <x v="0"/>
    <x v="3"/>
    <x v="52"/>
    <x v="1"/>
    <x v="2"/>
    <x v="0"/>
    <n v="33320"/>
  </r>
  <r>
    <m/>
    <x v="0"/>
    <x v="1"/>
    <x v="0"/>
    <x v="2"/>
    <x v="0"/>
    <x v="3"/>
    <x v="43"/>
    <x v="0"/>
    <x v="2"/>
    <x v="0"/>
    <n v="35110"/>
  </r>
  <r>
    <m/>
    <x v="0"/>
    <x v="1"/>
    <x v="0"/>
    <x v="2"/>
    <x v="0"/>
    <x v="3"/>
    <x v="44"/>
    <x v="0"/>
    <x v="2"/>
    <x v="0"/>
    <n v="35110"/>
  </r>
  <r>
    <m/>
    <x v="0"/>
    <x v="1"/>
    <x v="1"/>
    <x v="0"/>
    <x v="2"/>
    <x v="3"/>
    <x v="37"/>
    <x v="1"/>
    <x v="3"/>
    <x v="0"/>
    <n v="27730"/>
  </r>
  <r>
    <m/>
    <x v="0"/>
    <x v="1"/>
    <x v="1"/>
    <x v="2"/>
    <x v="2"/>
    <x v="4"/>
    <x v="4"/>
    <x v="1"/>
    <x v="3"/>
    <x v="0"/>
    <n v="34740"/>
  </r>
  <r>
    <m/>
    <x v="0"/>
    <x v="1"/>
    <x v="1"/>
    <x v="0"/>
    <x v="2"/>
    <x v="3"/>
    <x v="38"/>
    <x v="1"/>
    <x v="3"/>
    <x v="0"/>
    <n v="27730"/>
  </r>
  <r>
    <m/>
    <x v="0"/>
    <x v="1"/>
    <x v="1"/>
    <x v="0"/>
    <x v="2"/>
    <x v="3"/>
    <x v="39"/>
    <x v="1"/>
    <x v="3"/>
    <x v="0"/>
    <n v="27730"/>
  </r>
  <r>
    <m/>
    <x v="0"/>
    <x v="1"/>
    <x v="1"/>
    <x v="0"/>
    <x v="2"/>
    <x v="3"/>
    <x v="40"/>
    <x v="1"/>
    <x v="3"/>
    <x v="0"/>
    <n v="27730"/>
  </r>
  <r>
    <m/>
    <x v="0"/>
    <x v="1"/>
    <x v="1"/>
    <x v="0"/>
    <x v="2"/>
    <x v="3"/>
    <x v="41"/>
    <x v="1"/>
    <x v="3"/>
    <x v="0"/>
    <n v="27730"/>
  </r>
  <r>
    <m/>
    <x v="0"/>
    <x v="1"/>
    <x v="1"/>
    <x v="0"/>
    <x v="2"/>
    <x v="3"/>
    <x v="42"/>
    <x v="1"/>
    <x v="3"/>
    <x v="0"/>
    <n v="27730"/>
  </r>
  <r>
    <m/>
    <x v="0"/>
    <x v="1"/>
    <x v="1"/>
    <x v="0"/>
    <x v="2"/>
    <x v="3"/>
    <x v="43"/>
    <x v="1"/>
    <x v="3"/>
    <x v="0"/>
    <n v="27730"/>
  </r>
  <r>
    <m/>
    <x v="0"/>
    <x v="1"/>
    <x v="1"/>
    <x v="0"/>
    <x v="2"/>
    <x v="3"/>
    <x v="44"/>
    <x v="1"/>
    <x v="3"/>
    <x v="0"/>
    <n v="27730"/>
  </r>
  <r>
    <m/>
    <x v="0"/>
    <x v="1"/>
    <x v="1"/>
    <x v="0"/>
    <x v="2"/>
    <x v="3"/>
    <x v="45"/>
    <x v="1"/>
    <x v="3"/>
    <x v="0"/>
    <n v="27730"/>
  </r>
  <r>
    <m/>
    <x v="0"/>
    <x v="1"/>
    <x v="1"/>
    <x v="0"/>
    <x v="2"/>
    <x v="3"/>
    <x v="46"/>
    <x v="1"/>
    <x v="3"/>
    <x v="0"/>
    <n v="27730"/>
  </r>
  <r>
    <m/>
    <x v="0"/>
    <x v="1"/>
    <x v="1"/>
    <x v="0"/>
    <x v="2"/>
    <x v="3"/>
    <x v="4"/>
    <x v="1"/>
    <x v="3"/>
    <x v="0"/>
    <n v="27730"/>
  </r>
  <r>
    <m/>
    <x v="0"/>
    <x v="1"/>
    <x v="1"/>
    <x v="0"/>
    <x v="2"/>
    <x v="3"/>
    <x v="47"/>
    <x v="1"/>
    <x v="3"/>
    <x v="0"/>
    <n v="27730"/>
  </r>
  <r>
    <m/>
    <x v="0"/>
    <x v="1"/>
    <x v="1"/>
    <x v="0"/>
    <x v="2"/>
    <x v="3"/>
    <x v="48"/>
    <x v="1"/>
    <x v="3"/>
    <x v="0"/>
    <n v="27730"/>
  </r>
  <r>
    <m/>
    <x v="0"/>
    <x v="1"/>
    <x v="1"/>
    <x v="0"/>
    <x v="2"/>
    <x v="4"/>
    <x v="49"/>
    <x v="1"/>
    <x v="3"/>
    <x v="0"/>
    <n v="32560"/>
  </r>
  <r>
    <m/>
    <x v="0"/>
    <x v="1"/>
    <x v="1"/>
    <x v="0"/>
    <x v="2"/>
    <x v="4"/>
    <x v="50"/>
    <x v="1"/>
    <x v="3"/>
    <x v="0"/>
    <n v="32560"/>
  </r>
  <r>
    <m/>
    <x v="0"/>
    <x v="1"/>
    <x v="1"/>
    <x v="2"/>
    <x v="2"/>
    <x v="4"/>
    <x v="47"/>
    <x v="1"/>
    <x v="3"/>
    <x v="0"/>
    <n v="34740"/>
  </r>
  <r>
    <m/>
    <x v="0"/>
    <x v="1"/>
    <x v="1"/>
    <x v="2"/>
    <x v="2"/>
    <x v="4"/>
    <x v="48"/>
    <x v="1"/>
    <x v="3"/>
    <x v="0"/>
    <n v="34740"/>
  </r>
  <r>
    <m/>
    <x v="0"/>
    <x v="1"/>
    <x v="1"/>
    <x v="2"/>
    <x v="2"/>
    <x v="5"/>
    <x v="49"/>
    <x v="1"/>
    <x v="3"/>
    <x v="0"/>
    <n v="39890"/>
  </r>
  <r>
    <m/>
    <x v="0"/>
    <x v="1"/>
    <x v="1"/>
    <x v="2"/>
    <x v="2"/>
    <x v="5"/>
    <x v="50"/>
    <x v="1"/>
    <x v="3"/>
    <x v="0"/>
    <n v="39890"/>
  </r>
  <r>
    <m/>
    <x v="0"/>
    <x v="1"/>
    <x v="1"/>
    <x v="2"/>
    <x v="2"/>
    <x v="5"/>
    <x v="51"/>
    <x v="1"/>
    <x v="3"/>
    <x v="0"/>
    <n v="39890"/>
  </r>
  <r>
    <m/>
    <x v="0"/>
    <x v="1"/>
    <x v="1"/>
    <x v="2"/>
    <x v="2"/>
    <x v="5"/>
    <x v="52"/>
    <x v="1"/>
    <x v="3"/>
    <x v="0"/>
    <n v="39890"/>
  </r>
  <r>
    <m/>
    <x v="0"/>
    <x v="1"/>
    <x v="1"/>
    <x v="2"/>
    <x v="2"/>
    <x v="5"/>
    <x v="53"/>
    <x v="1"/>
    <x v="3"/>
    <x v="0"/>
    <n v="39890"/>
  </r>
  <r>
    <m/>
    <x v="0"/>
    <x v="1"/>
    <x v="1"/>
    <x v="2"/>
    <x v="2"/>
    <x v="5"/>
    <x v="6"/>
    <x v="1"/>
    <x v="3"/>
    <x v="0"/>
    <n v="39890"/>
  </r>
  <r>
    <m/>
    <x v="0"/>
    <x v="1"/>
    <x v="1"/>
    <x v="2"/>
    <x v="2"/>
    <x v="5"/>
    <x v="37"/>
    <x v="1"/>
    <x v="3"/>
    <x v="0"/>
    <n v="39890"/>
  </r>
  <r>
    <m/>
    <x v="0"/>
    <x v="1"/>
    <x v="1"/>
    <x v="2"/>
    <x v="2"/>
    <x v="5"/>
    <x v="38"/>
    <x v="1"/>
    <x v="3"/>
    <x v="0"/>
    <n v="39890"/>
  </r>
  <r>
    <m/>
    <x v="0"/>
    <x v="1"/>
    <x v="1"/>
    <x v="2"/>
    <x v="2"/>
    <x v="5"/>
    <x v="39"/>
    <x v="1"/>
    <x v="3"/>
    <x v="0"/>
    <n v="39890"/>
  </r>
  <r>
    <m/>
    <x v="0"/>
    <x v="1"/>
    <x v="1"/>
    <x v="2"/>
    <x v="2"/>
    <x v="5"/>
    <x v="40"/>
    <x v="1"/>
    <x v="3"/>
    <x v="0"/>
    <n v="39890"/>
  </r>
  <r>
    <m/>
    <x v="0"/>
    <x v="1"/>
    <x v="1"/>
    <x v="2"/>
    <x v="2"/>
    <x v="5"/>
    <x v="41"/>
    <x v="1"/>
    <x v="3"/>
    <x v="0"/>
    <n v="39890"/>
  </r>
  <r>
    <m/>
    <x v="0"/>
    <x v="1"/>
    <x v="0"/>
    <x v="3"/>
    <x v="1"/>
    <x v="1"/>
    <x v="55"/>
    <x v="0"/>
    <x v="3"/>
    <x v="0"/>
    <n v="27470"/>
  </r>
  <r>
    <m/>
    <x v="0"/>
    <x v="1"/>
    <x v="0"/>
    <x v="3"/>
    <x v="1"/>
    <x v="1"/>
    <x v="5"/>
    <x v="0"/>
    <x v="3"/>
    <x v="0"/>
    <n v="27200"/>
  </r>
  <r>
    <m/>
    <x v="0"/>
    <x v="1"/>
    <x v="0"/>
    <x v="3"/>
    <x v="1"/>
    <x v="1"/>
    <x v="54"/>
    <x v="0"/>
    <x v="3"/>
    <x v="0"/>
    <n v="26660"/>
  </r>
  <r>
    <m/>
    <x v="0"/>
    <x v="1"/>
    <x v="0"/>
    <x v="3"/>
    <x v="1"/>
    <x v="1"/>
    <x v="3"/>
    <x v="0"/>
    <x v="3"/>
    <x v="0"/>
    <n v="26930"/>
  </r>
  <r>
    <m/>
    <x v="0"/>
    <x v="1"/>
    <x v="0"/>
    <x v="3"/>
    <x v="1"/>
    <x v="2"/>
    <x v="55"/>
    <x v="0"/>
    <x v="2"/>
    <x v="0"/>
    <n v="30680"/>
  </r>
  <r>
    <m/>
    <x v="0"/>
    <x v="1"/>
    <x v="0"/>
    <x v="3"/>
    <x v="1"/>
    <x v="2"/>
    <x v="5"/>
    <x v="0"/>
    <x v="2"/>
    <x v="0"/>
    <n v="30410"/>
  </r>
  <r>
    <m/>
    <x v="0"/>
    <x v="1"/>
    <x v="0"/>
    <x v="3"/>
    <x v="1"/>
    <x v="2"/>
    <x v="54"/>
    <x v="0"/>
    <x v="2"/>
    <x v="0"/>
    <n v="29870"/>
  </r>
  <r>
    <m/>
    <x v="0"/>
    <x v="1"/>
    <x v="0"/>
    <x v="3"/>
    <x v="1"/>
    <x v="2"/>
    <x v="3"/>
    <x v="0"/>
    <x v="2"/>
    <x v="0"/>
    <n v="30140"/>
  </r>
  <r>
    <m/>
    <x v="0"/>
    <x v="1"/>
    <x v="0"/>
    <x v="3"/>
    <x v="3"/>
    <x v="1"/>
    <x v="55"/>
    <x v="0"/>
    <x v="3"/>
    <x v="0"/>
    <n v="29120"/>
  </r>
  <r>
    <m/>
    <x v="0"/>
    <x v="1"/>
    <x v="0"/>
    <x v="3"/>
    <x v="3"/>
    <x v="1"/>
    <x v="5"/>
    <x v="0"/>
    <x v="3"/>
    <x v="0"/>
    <n v="28910"/>
  </r>
  <r>
    <m/>
    <x v="0"/>
    <x v="1"/>
    <x v="0"/>
    <x v="3"/>
    <x v="3"/>
    <x v="1"/>
    <x v="54"/>
    <x v="0"/>
    <x v="3"/>
    <x v="0"/>
    <n v="28490"/>
  </r>
  <r>
    <m/>
    <x v="0"/>
    <x v="1"/>
    <x v="0"/>
    <x v="3"/>
    <x v="3"/>
    <x v="1"/>
    <x v="3"/>
    <x v="0"/>
    <x v="3"/>
    <x v="0"/>
    <n v="28700"/>
  </r>
  <r>
    <m/>
    <x v="0"/>
    <x v="1"/>
    <x v="0"/>
    <x v="2"/>
    <x v="2"/>
    <x v="3"/>
    <x v="47"/>
    <x v="0"/>
    <x v="3"/>
    <x v="0"/>
    <n v="30900"/>
  </r>
  <r>
    <m/>
    <x v="0"/>
    <x v="1"/>
    <x v="0"/>
    <x v="2"/>
    <x v="2"/>
    <x v="3"/>
    <x v="48"/>
    <x v="0"/>
    <x v="3"/>
    <x v="0"/>
    <n v="30900"/>
  </r>
  <r>
    <m/>
    <x v="0"/>
    <x v="1"/>
    <x v="0"/>
    <x v="2"/>
    <x v="2"/>
    <x v="4"/>
    <x v="49"/>
    <x v="0"/>
    <x v="3"/>
    <x v="0"/>
    <n v="36160"/>
  </r>
  <r>
    <m/>
    <x v="0"/>
    <x v="1"/>
    <x v="0"/>
    <x v="2"/>
    <x v="2"/>
    <x v="4"/>
    <x v="50"/>
    <x v="0"/>
    <x v="3"/>
    <x v="0"/>
    <n v="36160"/>
  </r>
  <r>
    <m/>
    <x v="0"/>
    <x v="1"/>
    <x v="0"/>
    <x v="2"/>
    <x v="2"/>
    <x v="4"/>
    <x v="51"/>
    <x v="0"/>
    <x v="3"/>
    <x v="0"/>
    <n v="36160"/>
  </r>
  <r>
    <m/>
    <x v="0"/>
    <x v="1"/>
    <x v="0"/>
    <x v="2"/>
    <x v="2"/>
    <x v="4"/>
    <x v="52"/>
    <x v="0"/>
    <x v="3"/>
    <x v="0"/>
    <n v="36160"/>
  </r>
  <r>
    <m/>
    <x v="0"/>
    <x v="1"/>
    <x v="0"/>
    <x v="2"/>
    <x v="2"/>
    <x v="4"/>
    <x v="53"/>
    <x v="0"/>
    <x v="3"/>
    <x v="0"/>
    <n v="36160"/>
  </r>
  <r>
    <m/>
    <x v="0"/>
    <x v="1"/>
    <x v="0"/>
    <x v="2"/>
    <x v="2"/>
    <x v="4"/>
    <x v="6"/>
    <x v="0"/>
    <x v="3"/>
    <x v="0"/>
    <n v="36160"/>
  </r>
  <r>
    <m/>
    <x v="0"/>
    <x v="1"/>
    <x v="0"/>
    <x v="2"/>
    <x v="2"/>
    <x v="4"/>
    <x v="37"/>
    <x v="0"/>
    <x v="3"/>
    <x v="0"/>
    <n v="36160"/>
  </r>
  <r>
    <m/>
    <x v="0"/>
    <x v="1"/>
    <x v="0"/>
    <x v="2"/>
    <x v="2"/>
    <x v="4"/>
    <x v="38"/>
    <x v="0"/>
    <x v="3"/>
    <x v="0"/>
    <n v="36160"/>
  </r>
  <r>
    <m/>
    <x v="0"/>
    <x v="1"/>
    <x v="0"/>
    <x v="2"/>
    <x v="2"/>
    <x v="4"/>
    <x v="39"/>
    <x v="0"/>
    <x v="3"/>
    <x v="0"/>
    <n v="36160"/>
  </r>
  <r>
    <m/>
    <x v="0"/>
    <x v="1"/>
    <x v="0"/>
    <x v="2"/>
    <x v="2"/>
    <x v="4"/>
    <x v="40"/>
    <x v="0"/>
    <x v="3"/>
    <x v="0"/>
    <n v="36160"/>
  </r>
  <r>
    <m/>
    <x v="0"/>
    <x v="1"/>
    <x v="0"/>
    <x v="2"/>
    <x v="2"/>
    <x v="4"/>
    <x v="41"/>
    <x v="0"/>
    <x v="3"/>
    <x v="0"/>
    <n v="36160"/>
  </r>
  <r>
    <m/>
    <x v="0"/>
    <x v="1"/>
    <x v="0"/>
    <x v="2"/>
    <x v="2"/>
    <x v="4"/>
    <x v="42"/>
    <x v="0"/>
    <x v="3"/>
    <x v="0"/>
    <n v="36160"/>
  </r>
  <r>
    <m/>
    <x v="0"/>
    <x v="1"/>
    <x v="0"/>
    <x v="3"/>
    <x v="3"/>
    <x v="2"/>
    <x v="55"/>
    <x v="0"/>
    <x v="2"/>
    <x v="0"/>
    <n v="33590"/>
  </r>
  <r>
    <m/>
    <x v="0"/>
    <x v="1"/>
    <x v="0"/>
    <x v="2"/>
    <x v="2"/>
    <x v="4"/>
    <x v="43"/>
    <x v="0"/>
    <x v="3"/>
    <x v="0"/>
    <n v="36160"/>
  </r>
  <r>
    <m/>
    <x v="0"/>
    <x v="1"/>
    <x v="1"/>
    <x v="0"/>
    <x v="2"/>
    <x v="4"/>
    <x v="51"/>
    <x v="1"/>
    <x v="3"/>
    <x v="0"/>
    <n v="32560"/>
  </r>
  <r>
    <m/>
    <x v="0"/>
    <x v="1"/>
    <x v="1"/>
    <x v="2"/>
    <x v="2"/>
    <x v="5"/>
    <x v="42"/>
    <x v="1"/>
    <x v="3"/>
    <x v="0"/>
    <n v="39890"/>
  </r>
  <r>
    <m/>
    <x v="0"/>
    <x v="1"/>
    <x v="0"/>
    <x v="3"/>
    <x v="3"/>
    <x v="2"/>
    <x v="5"/>
    <x v="0"/>
    <x v="2"/>
    <x v="0"/>
    <n v="33380"/>
  </r>
  <r>
    <m/>
    <x v="0"/>
    <x v="1"/>
    <x v="0"/>
    <x v="3"/>
    <x v="3"/>
    <x v="2"/>
    <x v="54"/>
    <x v="0"/>
    <x v="2"/>
    <x v="0"/>
    <n v="32960"/>
  </r>
  <r>
    <m/>
    <x v="0"/>
    <x v="1"/>
    <x v="0"/>
    <x v="3"/>
    <x v="3"/>
    <x v="2"/>
    <x v="3"/>
    <x v="0"/>
    <x v="2"/>
    <x v="0"/>
    <n v="33170"/>
  </r>
  <r>
    <m/>
    <x v="0"/>
    <x v="1"/>
    <x v="0"/>
    <x v="0"/>
    <x v="2"/>
    <x v="3"/>
    <x v="49"/>
    <x v="0"/>
    <x v="3"/>
    <x v="0"/>
    <n v="29050"/>
  </r>
  <r>
    <m/>
    <x v="0"/>
    <x v="1"/>
    <x v="0"/>
    <x v="0"/>
    <x v="2"/>
    <x v="3"/>
    <x v="50"/>
    <x v="0"/>
    <x v="3"/>
    <x v="0"/>
    <n v="29050"/>
  </r>
  <r>
    <m/>
    <x v="0"/>
    <x v="1"/>
    <x v="0"/>
    <x v="0"/>
    <x v="2"/>
    <x v="3"/>
    <x v="51"/>
    <x v="0"/>
    <x v="3"/>
    <x v="0"/>
    <n v="29050"/>
  </r>
  <r>
    <m/>
    <x v="0"/>
    <x v="1"/>
    <x v="0"/>
    <x v="0"/>
    <x v="2"/>
    <x v="3"/>
    <x v="52"/>
    <x v="0"/>
    <x v="3"/>
    <x v="0"/>
    <n v="29050"/>
  </r>
  <r>
    <m/>
    <x v="0"/>
    <x v="1"/>
    <x v="0"/>
    <x v="0"/>
    <x v="2"/>
    <x v="3"/>
    <x v="53"/>
    <x v="0"/>
    <x v="3"/>
    <x v="0"/>
    <n v="29050"/>
  </r>
  <r>
    <m/>
    <x v="0"/>
    <x v="1"/>
    <x v="0"/>
    <x v="0"/>
    <x v="2"/>
    <x v="3"/>
    <x v="6"/>
    <x v="0"/>
    <x v="3"/>
    <x v="0"/>
    <n v="29050"/>
  </r>
  <r>
    <m/>
    <x v="0"/>
    <x v="1"/>
    <x v="0"/>
    <x v="0"/>
    <x v="2"/>
    <x v="3"/>
    <x v="37"/>
    <x v="0"/>
    <x v="3"/>
    <x v="0"/>
    <n v="29050"/>
  </r>
  <r>
    <m/>
    <x v="0"/>
    <x v="1"/>
    <x v="0"/>
    <x v="0"/>
    <x v="2"/>
    <x v="3"/>
    <x v="38"/>
    <x v="0"/>
    <x v="3"/>
    <x v="0"/>
    <n v="29050"/>
  </r>
  <r>
    <m/>
    <x v="0"/>
    <x v="1"/>
    <x v="0"/>
    <x v="0"/>
    <x v="2"/>
    <x v="3"/>
    <x v="39"/>
    <x v="0"/>
    <x v="3"/>
    <x v="0"/>
    <n v="29050"/>
  </r>
  <r>
    <m/>
    <x v="0"/>
    <x v="1"/>
    <x v="0"/>
    <x v="0"/>
    <x v="2"/>
    <x v="3"/>
    <x v="40"/>
    <x v="0"/>
    <x v="3"/>
    <x v="0"/>
    <n v="29050"/>
  </r>
  <r>
    <m/>
    <x v="0"/>
    <x v="1"/>
    <x v="0"/>
    <x v="2"/>
    <x v="2"/>
    <x v="4"/>
    <x v="44"/>
    <x v="0"/>
    <x v="3"/>
    <x v="0"/>
    <n v="36160"/>
  </r>
  <r>
    <m/>
    <x v="0"/>
    <x v="1"/>
    <x v="0"/>
    <x v="2"/>
    <x v="2"/>
    <x v="4"/>
    <x v="45"/>
    <x v="0"/>
    <x v="3"/>
    <x v="0"/>
    <n v="36160"/>
  </r>
  <r>
    <m/>
    <x v="0"/>
    <x v="1"/>
    <x v="0"/>
    <x v="2"/>
    <x v="2"/>
    <x v="4"/>
    <x v="46"/>
    <x v="0"/>
    <x v="3"/>
    <x v="0"/>
    <n v="36160"/>
  </r>
  <r>
    <m/>
    <x v="0"/>
    <x v="1"/>
    <x v="0"/>
    <x v="2"/>
    <x v="2"/>
    <x v="4"/>
    <x v="4"/>
    <x v="0"/>
    <x v="3"/>
    <x v="0"/>
    <n v="36160"/>
  </r>
  <r>
    <m/>
    <x v="0"/>
    <x v="1"/>
    <x v="0"/>
    <x v="2"/>
    <x v="2"/>
    <x v="4"/>
    <x v="47"/>
    <x v="0"/>
    <x v="3"/>
    <x v="0"/>
    <n v="36160"/>
  </r>
  <r>
    <m/>
    <x v="0"/>
    <x v="1"/>
    <x v="0"/>
    <x v="2"/>
    <x v="2"/>
    <x v="4"/>
    <x v="48"/>
    <x v="0"/>
    <x v="3"/>
    <x v="0"/>
    <n v="36160"/>
  </r>
  <r>
    <m/>
    <x v="0"/>
    <x v="1"/>
    <x v="0"/>
    <x v="2"/>
    <x v="2"/>
    <x v="5"/>
    <x v="49"/>
    <x v="0"/>
    <x v="3"/>
    <x v="0"/>
    <n v="41400"/>
  </r>
  <r>
    <m/>
    <x v="0"/>
    <x v="1"/>
    <x v="0"/>
    <x v="2"/>
    <x v="2"/>
    <x v="5"/>
    <x v="50"/>
    <x v="0"/>
    <x v="3"/>
    <x v="0"/>
    <n v="41400"/>
  </r>
  <r>
    <m/>
    <x v="0"/>
    <x v="1"/>
    <x v="0"/>
    <x v="2"/>
    <x v="2"/>
    <x v="5"/>
    <x v="51"/>
    <x v="0"/>
    <x v="3"/>
    <x v="0"/>
    <n v="41400"/>
  </r>
  <r>
    <m/>
    <x v="0"/>
    <x v="1"/>
    <x v="0"/>
    <x v="2"/>
    <x v="2"/>
    <x v="5"/>
    <x v="52"/>
    <x v="0"/>
    <x v="3"/>
    <x v="0"/>
    <n v="41400"/>
  </r>
  <r>
    <m/>
    <x v="0"/>
    <x v="1"/>
    <x v="0"/>
    <x v="2"/>
    <x v="2"/>
    <x v="5"/>
    <x v="53"/>
    <x v="0"/>
    <x v="3"/>
    <x v="0"/>
    <n v="41400"/>
  </r>
  <r>
    <m/>
    <x v="0"/>
    <x v="1"/>
    <x v="0"/>
    <x v="2"/>
    <x v="2"/>
    <x v="5"/>
    <x v="6"/>
    <x v="0"/>
    <x v="3"/>
    <x v="0"/>
    <n v="41400"/>
  </r>
  <r>
    <m/>
    <x v="0"/>
    <x v="1"/>
    <x v="0"/>
    <x v="2"/>
    <x v="2"/>
    <x v="5"/>
    <x v="37"/>
    <x v="0"/>
    <x v="3"/>
    <x v="0"/>
    <n v="41400"/>
  </r>
  <r>
    <m/>
    <x v="0"/>
    <x v="1"/>
    <x v="0"/>
    <x v="2"/>
    <x v="2"/>
    <x v="5"/>
    <x v="38"/>
    <x v="0"/>
    <x v="3"/>
    <x v="0"/>
    <n v="41400"/>
  </r>
  <r>
    <m/>
    <x v="0"/>
    <x v="1"/>
    <x v="0"/>
    <x v="0"/>
    <x v="2"/>
    <x v="5"/>
    <x v="49"/>
    <x v="0"/>
    <x v="3"/>
    <x v="0"/>
    <n v="38870"/>
  </r>
  <r>
    <m/>
    <x v="0"/>
    <x v="1"/>
    <x v="0"/>
    <x v="0"/>
    <x v="2"/>
    <x v="5"/>
    <x v="50"/>
    <x v="0"/>
    <x v="3"/>
    <x v="0"/>
    <n v="38870"/>
  </r>
  <r>
    <m/>
    <x v="0"/>
    <x v="1"/>
    <x v="0"/>
    <x v="2"/>
    <x v="2"/>
    <x v="5"/>
    <x v="39"/>
    <x v="0"/>
    <x v="3"/>
    <x v="0"/>
    <n v="41400"/>
  </r>
  <r>
    <m/>
    <x v="0"/>
    <x v="1"/>
    <x v="0"/>
    <x v="2"/>
    <x v="2"/>
    <x v="5"/>
    <x v="40"/>
    <x v="0"/>
    <x v="3"/>
    <x v="0"/>
    <n v="41400"/>
  </r>
  <r>
    <m/>
    <x v="0"/>
    <x v="1"/>
    <x v="0"/>
    <x v="2"/>
    <x v="2"/>
    <x v="5"/>
    <x v="41"/>
    <x v="0"/>
    <x v="3"/>
    <x v="0"/>
    <n v="41400"/>
  </r>
  <r>
    <m/>
    <x v="0"/>
    <x v="1"/>
    <x v="0"/>
    <x v="2"/>
    <x v="2"/>
    <x v="5"/>
    <x v="42"/>
    <x v="0"/>
    <x v="3"/>
    <x v="0"/>
    <n v="41400"/>
  </r>
  <r>
    <m/>
    <x v="0"/>
    <x v="1"/>
    <x v="0"/>
    <x v="2"/>
    <x v="2"/>
    <x v="5"/>
    <x v="43"/>
    <x v="0"/>
    <x v="3"/>
    <x v="0"/>
    <n v="41400"/>
  </r>
  <r>
    <m/>
    <x v="0"/>
    <x v="1"/>
    <x v="0"/>
    <x v="2"/>
    <x v="2"/>
    <x v="5"/>
    <x v="44"/>
    <x v="0"/>
    <x v="3"/>
    <x v="0"/>
    <n v="41400"/>
  </r>
  <r>
    <m/>
    <x v="0"/>
    <x v="1"/>
    <x v="0"/>
    <x v="2"/>
    <x v="2"/>
    <x v="5"/>
    <x v="45"/>
    <x v="0"/>
    <x v="3"/>
    <x v="0"/>
    <n v="41400"/>
  </r>
  <r>
    <m/>
    <x v="0"/>
    <x v="1"/>
    <x v="0"/>
    <x v="2"/>
    <x v="2"/>
    <x v="5"/>
    <x v="46"/>
    <x v="0"/>
    <x v="3"/>
    <x v="0"/>
    <n v="41400"/>
  </r>
  <r>
    <m/>
    <x v="0"/>
    <x v="1"/>
    <x v="0"/>
    <x v="2"/>
    <x v="2"/>
    <x v="5"/>
    <x v="4"/>
    <x v="0"/>
    <x v="3"/>
    <x v="0"/>
    <n v="41400"/>
  </r>
  <r>
    <m/>
    <x v="0"/>
    <x v="1"/>
    <x v="0"/>
    <x v="2"/>
    <x v="2"/>
    <x v="5"/>
    <x v="47"/>
    <x v="0"/>
    <x v="3"/>
    <x v="0"/>
    <n v="41400"/>
  </r>
  <r>
    <m/>
    <x v="0"/>
    <x v="1"/>
    <x v="0"/>
    <x v="2"/>
    <x v="2"/>
    <x v="5"/>
    <x v="48"/>
    <x v="0"/>
    <x v="3"/>
    <x v="0"/>
    <n v="41400"/>
  </r>
  <r>
    <m/>
    <x v="0"/>
    <x v="1"/>
    <x v="0"/>
    <x v="2"/>
    <x v="0"/>
    <x v="3"/>
    <x v="49"/>
    <x v="0"/>
    <x v="2"/>
    <x v="0"/>
    <n v="35110"/>
  </r>
  <r>
    <m/>
    <x v="0"/>
    <x v="1"/>
    <x v="0"/>
    <x v="2"/>
    <x v="0"/>
    <x v="3"/>
    <x v="50"/>
    <x v="0"/>
    <x v="2"/>
    <x v="0"/>
    <n v="35110"/>
  </r>
  <r>
    <m/>
    <x v="0"/>
    <x v="1"/>
    <x v="0"/>
    <x v="2"/>
    <x v="0"/>
    <x v="3"/>
    <x v="51"/>
    <x v="0"/>
    <x v="2"/>
    <x v="0"/>
    <n v="35110"/>
  </r>
  <r>
    <m/>
    <x v="0"/>
    <x v="1"/>
    <x v="0"/>
    <x v="2"/>
    <x v="0"/>
    <x v="3"/>
    <x v="52"/>
    <x v="0"/>
    <x v="2"/>
    <x v="0"/>
    <n v="35110"/>
  </r>
  <r>
    <m/>
    <x v="0"/>
    <x v="1"/>
    <x v="0"/>
    <x v="0"/>
    <x v="2"/>
    <x v="3"/>
    <x v="41"/>
    <x v="0"/>
    <x v="3"/>
    <x v="0"/>
    <n v="29050"/>
  </r>
  <r>
    <m/>
    <x v="0"/>
    <x v="1"/>
    <x v="0"/>
    <x v="2"/>
    <x v="0"/>
    <x v="3"/>
    <x v="53"/>
    <x v="0"/>
    <x v="2"/>
    <x v="0"/>
    <n v="35110"/>
  </r>
  <r>
    <m/>
    <x v="0"/>
    <x v="1"/>
    <x v="1"/>
    <x v="2"/>
    <x v="2"/>
    <x v="5"/>
    <x v="43"/>
    <x v="1"/>
    <x v="3"/>
    <x v="0"/>
    <n v="39890"/>
  </r>
  <r>
    <m/>
    <x v="0"/>
    <x v="1"/>
    <x v="1"/>
    <x v="2"/>
    <x v="2"/>
    <x v="5"/>
    <x v="44"/>
    <x v="1"/>
    <x v="3"/>
    <x v="0"/>
    <n v="39890"/>
  </r>
  <r>
    <m/>
    <x v="0"/>
    <x v="1"/>
    <x v="1"/>
    <x v="2"/>
    <x v="2"/>
    <x v="5"/>
    <x v="45"/>
    <x v="1"/>
    <x v="3"/>
    <x v="0"/>
    <n v="39890"/>
  </r>
  <r>
    <m/>
    <x v="0"/>
    <x v="1"/>
    <x v="1"/>
    <x v="2"/>
    <x v="2"/>
    <x v="5"/>
    <x v="46"/>
    <x v="1"/>
    <x v="3"/>
    <x v="0"/>
    <n v="39890"/>
  </r>
  <r>
    <m/>
    <x v="0"/>
    <x v="1"/>
    <x v="1"/>
    <x v="2"/>
    <x v="2"/>
    <x v="5"/>
    <x v="4"/>
    <x v="1"/>
    <x v="3"/>
    <x v="0"/>
    <n v="39890"/>
  </r>
  <r>
    <m/>
    <x v="0"/>
    <x v="1"/>
    <x v="1"/>
    <x v="2"/>
    <x v="2"/>
    <x v="5"/>
    <x v="47"/>
    <x v="1"/>
    <x v="3"/>
    <x v="0"/>
    <n v="39890"/>
  </r>
  <r>
    <m/>
    <x v="0"/>
    <x v="1"/>
    <x v="1"/>
    <x v="2"/>
    <x v="2"/>
    <x v="5"/>
    <x v="48"/>
    <x v="1"/>
    <x v="3"/>
    <x v="0"/>
    <n v="39890"/>
  </r>
  <r>
    <m/>
    <x v="0"/>
    <x v="1"/>
    <x v="1"/>
    <x v="2"/>
    <x v="0"/>
    <x v="3"/>
    <x v="49"/>
    <x v="1"/>
    <x v="2"/>
    <x v="0"/>
    <n v="33320"/>
  </r>
  <r>
    <m/>
    <x v="0"/>
    <x v="1"/>
    <x v="1"/>
    <x v="2"/>
    <x v="0"/>
    <x v="3"/>
    <x v="50"/>
    <x v="1"/>
    <x v="2"/>
    <x v="0"/>
    <n v="33320"/>
  </r>
  <r>
    <m/>
    <x v="0"/>
    <x v="1"/>
    <x v="0"/>
    <x v="0"/>
    <x v="2"/>
    <x v="3"/>
    <x v="42"/>
    <x v="0"/>
    <x v="3"/>
    <x v="0"/>
    <n v="29050"/>
  </r>
  <r>
    <m/>
    <x v="0"/>
    <x v="1"/>
    <x v="0"/>
    <x v="0"/>
    <x v="2"/>
    <x v="3"/>
    <x v="43"/>
    <x v="0"/>
    <x v="3"/>
    <x v="0"/>
    <n v="29050"/>
  </r>
  <r>
    <m/>
    <x v="0"/>
    <x v="1"/>
    <x v="0"/>
    <x v="0"/>
    <x v="2"/>
    <x v="3"/>
    <x v="44"/>
    <x v="0"/>
    <x v="3"/>
    <x v="0"/>
    <n v="29050"/>
  </r>
  <r>
    <m/>
    <x v="0"/>
    <x v="1"/>
    <x v="0"/>
    <x v="0"/>
    <x v="2"/>
    <x v="3"/>
    <x v="45"/>
    <x v="0"/>
    <x v="3"/>
    <x v="0"/>
    <n v="29050"/>
  </r>
  <r>
    <m/>
    <x v="0"/>
    <x v="1"/>
    <x v="0"/>
    <x v="0"/>
    <x v="2"/>
    <x v="3"/>
    <x v="46"/>
    <x v="0"/>
    <x v="3"/>
    <x v="0"/>
    <n v="29050"/>
  </r>
  <r>
    <m/>
    <x v="0"/>
    <x v="1"/>
    <x v="0"/>
    <x v="0"/>
    <x v="2"/>
    <x v="3"/>
    <x v="4"/>
    <x v="0"/>
    <x v="3"/>
    <x v="0"/>
    <n v="29050"/>
  </r>
  <r>
    <m/>
    <x v="0"/>
    <x v="1"/>
    <x v="0"/>
    <x v="0"/>
    <x v="2"/>
    <x v="3"/>
    <x v="47"/>
    <x v="0"/>
    <x v="3"/>
    <x v="0"/>
    <n v="29050"/>
  </r>
  <r>
    <m/>
    <x v="0"/>
    <x v="1"/>
    <x v="0"/>
    <x v="0"/>
    <x v="2"/>
    <x v="3"/>
    <x v="48"/>
    <x v="0"/>
    <x v="3"/>
    <x v="0"/>
    <n v="29050"/>
  </r>
  <r>
    <m/>
    <x v="0"/>
    <x v="1"/>
    <x v="0"/>
    <x v="0"/>
    <x v="2"/>
    <x v="4"/>
    <x v="49"/>
    <x v="0"/>
    <x v="3"/>
    <x v="0"/>
    <n v="33950"/>
  </r>
  <r>
    <m/>
    <x v="0"/>
    <x v="1"/>
    <x v="0"/>
    <x v="0"/>
    <x v="2"/>
    <x v="4"/>
    <x v="50"/>
    <x v="0"/>
    <x v="3"/>
    <x v="0"/>
    <n v="33950"/>
  </r>
  <r>
    <m/>
    <x v="0"/>
    <x v="1"/>
    <x v="0"/>
    <x v="0"/>
    <x v="2"/>
    <x v="4"/>
    <x v="51"/>
    <x v="0"/>
    <x v="3"/>
    <x v="0"/>
    <n v="33950"/>
  </r>
  <r>
    <m/>
    <x v="0"/>
    <x v="1"/>
    <x v="0"/>
    <x v="0"/>
    <x v="2"/>
    <x v="4"/>
    <x v="52"/>
    <x v="0"/>
    <x v="3"/>
    <x v="0"/>
    <n v="33950"/>
  </r>
  <r>
    <m/>
    <x v="0"/>
    <x v="1"/>
    <x v="0"/>
    <x v="0"/>
    <x v="2"/>
    <x v="4"/>
    <x v="53"/>
    <x v="0"/>
    <x v="3"/>
    <x v="0"/>
    <n v="33950"/>
  </r>
  <r>
    <m/>
    <x v="0"/>
    <x v="1"/>
    <x v="0"/>
    <x v="0"/>
    <x v="2"/>
    <x v="4"/>
    <x v="6"/>
    <x v="0"/>
    <x v="3"/>
    <x v="0"/>
    <n v="33950"/>
  </r>
  <r>
    <m/>
    <x v="0"/>
    <x v="1"/>
    <x v="0"/>
    <x v="0"/>
    <x v="2"/>
    <x v="4"/>
    <x v="37"/>
    <x v="0"/>
    <x v="3"/>
    <x v="0"/>
    <n v="33950"/>
  </r>
  <r>
    <m/>
    <x v="0"/>
    <x v="1"/>
    <x v="1"/>
    <x v="0"/>
    <x v="2"/>
    <x v="4"/>
    <x v="52"/>
    <x v="1"/>
    <x v="3"/>
    <x v="0"/>
    <n v="32560"/>
  </r>
  <r>
    <m/>
    <x v="0"/>
    <x v="1"/>
    <x v="1"/>
    <x v="0"/>
    <x v="2"/>
    <x v="4"/>
    <x v="53"/>
    <x v="1"/>
    <x v="3"/>
    <x v="0"/>
    <n v="32560"/>
  </r>
  <r>
    <m/>
    <x v="0"/>
    <x v="1"/>
    <x v="1"/>
    <x v="0"/>
    <x v="2"/>
    <x v="4"/>
    <x v="6"/>
    <x v="1"/>
    <x v="3"/>
    <x v="0"/>
    <n v="32560"/>
  </r>
  <r>
    <m/>
    <x v="0"/>
    <x v="1"/>
    <x v="1"/>
    <x v="0"/>
    <x v="2"/>
    <x v="4"/>
    <x v="37"/>
    <x v="1"/>
    <x v="3"/>
    <x v="0"/>
    <n v="32560"/>
  </r>
  <r>
    <m/>
    <x v="0"/>
    <x v="1"/>
    <x v="1"/>
    <x v="0"/>
    <x v="2"/>
    <x v="4"/>
    <x v="38"/>
    <x v="1"/>
    <x v="3"/>
    <x v="0"/>
    <n v="32560"/>
  </r>
  <r>
    <m/>
    <x v="0"/>
    <x v="1"/>
    <x v="1"/>
    <x v="0"/>
    <x v="2"/>
    <x v="4"/>
    <x v="39"/>
    <x v="1"/>
    <x v="3"/>
    <x v="0"/>
    <n v="32560"/>
  </r>
  <r>
    <m/>
    <x v="0"/>
    <x v="1"/>
    <x v="0"/>
    <x v="2"/>
    <x v="0"/>
    <x v="3"/>
    <x v="6"/>
    <x v="0"/>
    <x v="2"/>
    <x v="0"/>
    <n v="35110"/>
  </r>
  <r>
    <m/>
    <x v="0"/>
    <x v="1"/>
    <x v="0"/>
    <x v="2"/>
    <x v="0"/>
    <x v="3"/>
    <x v="37"/>
    <x v="0"/>
    <x v="2"/>
    <x v="0"/>
    <n v="35110"/>
  </r>
  <r>
    <m/>
    <x v="0"/>
    <x v="1"/>
    <x v="0"/>
    <x v="2"/>
    <x v="0"/>
    <x v="3"/>
    <x v="38"/>
    <x v="0"/>
    <x v="2"/>
    <x v="0"/>
    <n v="35110"/>
  </r>
  <r>
    <m/>
    <x v="0"/>
    <x v="1"/>
    <x v="0"/>
    <x v="2"/>
    <x v="0"/>
    <x v="3"/>
    <x v="39"/>
    <x v="0"/>
    <x v="2"/>
    <x v="0"/>
    <n v="35110"/>
  </r>
  <r>
    <m/>
    <x v="0"/>
    <x v="1"/>
    <x v="0"/>
    <x v="2"/>
    <x v="0"/>
    <x v="3"/>
    <x v="40"/>
    <x v="0"/>
    <x v="2"/>
    <x v="0"/>
    <n v="35110"/>
  </r>
  <r>
    <m/>
    <x v="0"/>
    <x v="1"/>
    <x v="0"/>
    <x v="2"/>
    <x v="0"/>
    <x v="3"/>
    <x v="41"/>
    <x v="0"/>
    <x v="2"/>
    <x v="0"/>
    <n v="35110"/>
  </r>
  <r>
    <m/>
    <x v="0"/>
    <x v="1"/>
    <x v="0"/>
    <x v="2"/>
    <x v="0"/>
    <x v="3"/>
    <x v="42"/>
    <x v="0"/>
    <x v="2"/>
    <x v="0"/>
    <n v="35110"/>
  </r>
  <r>
    <m/>
    <x v="0"/>
    <x v="1"/>
    <x v="0"/>
    <x v="0"/>
    <x v="2"/>
    <x v="4"/>
    <x v="38"/>
    <x v="0"/>
    <x v="3"/>
    <x v="0"/>
    <n v="33950"/>
  </r>
  <r>
    <m/>
    <x v="0"/>
    <x v="1"/>
    <x v="0"/>
    <x v="0"/>
    <x v="2"/>
    <x v="4"/>
    <x v="39"/>
    <x v="0"/>
    <x v="3"/>
    <x v="0"/>
    <n v="33950"/>
  </r>
  <r>
    <m/>
    <x v="0"/>
    <x v="1"/>
    <x v="0"/>
    <x v="0"/>
    <x v="2"/>
    <x v="4"/>
    <x v="40"/>
    <x v="0"/>
    <x v="3"/>
    <x v="0"/>
    <n v="33950"/>
  </r>
  <r>
    <m/>
    <x v="0"/>
    <x v="1"/>
    <x v="0"/>
    <x v="0"/>
    <x v="2"/>
    <x v="4"/>
    <x v="41"/>
    <x v="0"/>
    <x v="3"/>
    <x v="0"/>
    <n v="33950"/>
  </r>
  <r>
    <m/>
    <x v="0"/>
    <x v="1"/>
    <x v="0"/>
    <x v="0"/>
    <x v="2"/>
    <x v="4"/>
    <x v="42"/>
    <x v="0"/>
    <x v="3"/>
    <x v="0"/>
    <n v="33950"/>
  </r>
  <r>
    <m/>
    <x v="0"/>
    <x v="1"/>
    <x v="0"/>
    <x v="0"/>
    <x v="2"/>
    <x v="4"/>
    <x v="43"/>
    <x v="0"/>
    <x v="3"/>
    <x v="0"/>
    <n v="33950"/>
  </r>
  <r>
    <m/>
    <x v="0"/>
    <x v="1"/>
    <x v="0"/>
    <x v="0"/>
    <x v="2"/>
    <x v="4"/>
    <x v="44"/>
    <x v="0"/>
    <x v="3"/>
    <x v="0"/>
    <n v="33950"/>
  </r>
  <r>
    <m/>
    <x v="0"/>
    <x v="1"/>
    <x v="0"/>
    <x v="0"/>
    <x v="2"/>
    <x v="4"/>
    <x v="45"/>
    <x v="0"/>
    <x v="3"/>
    <x v="0"/>
    <n v="33950"/>
  </r>
  <r>
    <m/>
    <x v="0"/>
    <x v="1"/>
    <x v="0"/>
    <x v="0"/>
    <x v="2"/>
    <x v="4"/>
    <x v="46"/>
    <x v="0"/>
    <x v="3"/>
    <x v="0"/>
    <n v="33950"/>
  </r>
  <r>
    <m/>
    <x v="0"/>
    <x v="1"/>
    <x v="0"/>
    <x v="0"/>
    <x v="2"/>
    <x v="4"/>
    <x v="4"/>
    <x v="0"/>
    <x v="3"/>
    <x v="0"/>
    <n v="33950"/>
  </r>
  <r>
    <m/>
    <x v="0"/>
    <x v="1"/>
    <x v="0"/>
    <x v="0"/>
    <x v="2"/>
    <x v="4"/>
    <x v="47"/>
    <x v="0"/>
    <x v="3"/>
    <x v="0"/>
    <n v="33950"/>
  </r>
  <r>
    <m/>
    <x v="0"/>
    <x v="1"/>
    <x v="0"/>
    <x v="0"/>
    <x v="2"/>
    <x v="4"/>
    <x v="48"/>
    <x v="0"/>
    <x v="3"/>
    <x v="0"/>
    <n v="33950"/>
  </r>
  <r>
    <m/>
    <x v="0"/>
    <x v="0"/>
    <x v="0"/>
    <x v="0"/>
    <x v="0"/>
    <x v="0"/>
    <x v="56"/>
    <x v="0"/>
    <x v="0"/>
    <x v="0"/>
    <n v="26390"/>
  </r>
  <r>
    <m/>
    <x v="0"/>
    <x v="0"/>
    <x v="0"/>
    <x v="0"/>
    <x v="0"/>
    <x v="0"/>
    <x v="57"/>
    <x v="0"/>
    <x v="0"/>
    <x v="0"/>
    <n v="26390"/>
  </r>
  <r>
    <m/>
    <x v="0"/>
    <x v="0"/>
    <x v="0"/>
    <x v="0"/>
    <x v="0"/>
    <x v="0"/>
    <x v="58"/>
    <x v="0"/>
    <x v="0"/>
    <x v="0"/>
    <n v="26390"/>
  </r>
  <r>
    <m/>
    <x v="0"/>
    <x v="0"/>
    <x v="0"/>
    <x v="0"/>
    <x v="0"/>
    <x v="0"/>
    <x v="59"/>
    <x v="0"/>
    <x v="0"/>
    <x v="0"/>
    <n v="26390"/>
  </r>
  <r>
    <m/>
    <x v="0"/>
    <x v="0"/>
    <x v="0"/>
    <x v="0"/>
    <x v="0"/>
    <x v="0"/>
    <x v="60"/>
    <x v="0"/>
    <x v="0"/>
    <x v="0"/>
    <n v="26390"/>
  </r>
  <r>
    <m/>
    <x v="0"/>
    <x v="0"/>
    <x v="0"/>
    <x v="0"/>
    <x v="0"/>
    <x v="0"/>
    <x v="61"/>
    <x v="0"/>
    <x v="0"/>
    <x v="0"/>
    <n v="26390"/>
  </r>
  <r>
    <m/>
    <x v="0"/>
    <x v="0"/>
    <x v="0"/>
    <x v="0"/>
    <x v="0"/>
    <x v="0"/>
    <x v="62"/>
    <x v="0"/>
    <x v="0"/>
    <x v="0"/>
    <n v="26390"/>
  </r>
  <r>
    <m/>
    <x v="0"/>
    <x v="0"/>
    <x v="0"/>
    <x v="0"/>
    <x v="0"/>
    <x v="0"/>
    <x v="63"/>
    <x v="0"/>
    <x v="0"/>
    <x v="0"/>
    <n v="26390"/>
  </r>
  <r>
    <m/>
    <x v="0"/>
    <x v="0"/>
    <x v="0"/>
    <x v="0"/>
    <x v="0"/>
    <x v="0"/>
    <x v="64"/>
    <x v="0"/>
    <x v="0"/>
    <x v="0"/>
    <n v="26390"/>
  </r>
  <r>
    <m/>
    <x v="0"/>
    <x v="0"/>
    <x v="0"/>
    <x v="0"/>
    <x v="0"/>
    <x v="0"/>
    <x v="65"/>
    <x v="0"/>
    <x v="0"/>
    <x v="0"/>
    <n v="26390"/>
  </r>
  <r>
    <m/>
    <x v="0"/>
    <x v="0"/>
    <x v="0"/>
    <x v="0"/>
    <x v="0"/>
    <x v="0"/>
    <x v="66"/>
    <x v="0"/>
    <x v="0"/>
    <x v="0"/>
    <n v="26390"/>
  </r>
  <r>
    <m/>
    <x v="0"/>
    <x v="0"/>
    <x v="0"/>
    <x v="0"/>
    <x v="0"/>
    <x v="0"/>
    <x v="67"/>
    <x v="0"/>
    <x v="0"/>
    <x v="0"/>
    <n v="26390"/>
  </r>
  <r>
    <m/>
    <x v="0"/>
    <x v="0"/>
    <x v="0"/>
    <x v="0"/>
    <x v="0"/>
    <x v="0"/>
    <x v="68"/>
    <x v="0"/>
    <x v="0"/>
    <x v="0"/>
    <n v="26390"/>
  </r>
  <r>
    <m/>
    <x v="0"/>
    <x v="0"/>
    <x v="0"/>
    <x v="0"/>
    <x v="0"/>
    <x v="0"/>
    <x v="69"/>
    <x v="0"/>
    <x v="0"/>
    <x v="0"/>
    <n v="26390"/>
  </r>
  <r>
    <m/>
    <x v="0"/>
    <x v="0"/>
    <x v="0"/>
    <x v="0"/>
    <x v="0"/>
    <x v="0"/>
    <x v="70"/>
    <x v="0"/>
    <x v="0"/>
    <x v="0"/>
    <n v="26390"/>
  </r>
  <r>
    <m/>
    <x v="0"/>
    <x v="0"/>
    <x v="0"/>
    <x v="0"/>
    <x v="0"/>
    <x v="0"/>
    <x v="2"/>
    <x v="0"/>
    <x v="0"/>
    <x v="0"/>
    <n v="26390"/>
  </r>
  <r>
    <m/>
    <x v="0"/>
    <x v="0"/>
    <x v="0"/>
    <x v="0"/>
    <x v="0"/>
    <x v="0"/>
    <x v="71"/>
    <x v="0"/>
    <x v="0"/>
    <x v="0"/>
    <n v="26390"/>
  </r>
  <r>
    <m/>
    <x v="0"/>
    <x v="0"/>
    <x v="0"/>
    <x v="0"/>
    <x v="0"/>
    <x v="0"/>
    <x v="72"/>
    <x v="0"/>
    <x v="0"/>
    <x v="0"/>
    <n v="26390"/>
  </r>
  <r>
    <m/>
    <x v="0"/>
    <x v="0"/>
    <x v="1"/>
    <x v="1"/>
    <x v="1"/>
    <x v="2"/>
    <x v="73"/>
    <x v="1"/>
    <x v="0"/>
    <x v="0"/>
    <n v="25990"/>
  </r>
  <r>
    <m/>
    <x v="0"/>
    <x v="0"/>
    <x v="1"/>
    <x v="1"/>
    <x v="1"/>
    <x v="2"/>
    <x v="74"/>
    <x v="1"/>
    <x v="0"/>
    <x v="0"/>
    <n v="24050"/>
  </r>
  <r>
    <m/>
    <x v="0"/>
    <x v="0"/>
    <x v="1"/>
    <x v="1"/>
    <x v="1"/>
    <x v="2"/>
    <x v="1"/>
    <x v="1"/>
    <x v="0"/>
    <x v="0"/>
    <n v="25020"/>
  </r>
  <r>
    <m/>
    <x v="0"/>
    <x v="0"/>
    <x v="1"/>
    <x v="1"/>
    <x v="3"/>
    <x v="1"/>
    <x v="73"/>
    <x v="1"/>
    <x v="1"/>
    <x v="0"/>
    <n v="24390"/>
  </r>
  <r>
    <m/>
    <x v="0"/>
    <x v="0"/>
    <x v="1"/>
    <x v="1"/>
    <x v="3"/>
    <x v="1"/>
    <x v="74"/>
    <x v="1"/>
    <x v="1"/>
    <x v="0"/>
    <n v="22470"/>
  </r>
  <r>
    <m/>
    <x v="0"/>
    <x v="0"/>
    <x v="1"/>
    <x v="1"/>
    <x v="3"/>
    <x v="1"/>
    <x v="1"/>
    <x v="1"/>
    <x v="1"/>
    <x v="0"/>
    <n v="23430"/>
  </r>
  <r>
    <m/>
    <x v="0"/>
    <x v="0"/>
    <x v="1"/>
    <x v="1"/>
    <x v="3"/>
    <x v="2"/>
    <x v="73"/>
    <x v="1"/>
    <x v="0"/>
    <x v="0"/>
    <n v="28160"/>
  </r>
  <r>
    <m/>
    <x v="0"/>
    <x v="0"/>
    <x v="1"/>
    <x v="1"/>
    <x v="3"/>
    <x v="2"/>
    <x v="74"/>
    <x v="1"/>
    <x v="0"/>
    <x v="0"/>
    <n v="26240"/>
  </r>
  <r>
    <m/>
    <x v="0"/>
    <x v="0"/>
    <x v="1"/>
    <x v="1"/>
    <x v="3"/>
    <x v="2"/>
    <x v="1"/>
    <x v="1"/>
    <x v="0"/>
    <x v="0"/>
    <n v="27200"/>
  </r>
  <r>
    <m/>
    <x v="0"/>
    <x v="0"/>
    <x v="1"/>
    <x v="0"/>
    <x v="2"/>
    <x v="6"/>
    <x v="0"/>
    <x v="1"/>
    <x v="1"/>
    <x v="0"/>
    <n v="19840"/>
  </r>
  <r>
    <m/>
    <x v="0"/>
    <x v="0"/>
    <x v="1"/>
    <x v="0"/>
    <x v="2"/>
    <x v="6"/>
    <x v="56"/>
    <x v="1"/>
    <x v="1"/>
    <x v="0"/>
    <n v="19840"/>
  </r>
  <r>
    <m/>
    <x v="0"/>
    <x v="0"/>
    <x v="1"/>
    <x v="0"/>
    <x v="2"/>
    <x v="6"/>
    <x v="57"/>
    <x v="1"/>
    <x v="1"/>
    <x v="0"/>
    <n v="19840"/>
  </r>
  <r>
    <m/>
    <x v="0"/>
    <x v="0"/>
    <x v="1"/>
    <x v="0"/>
    <x v="2"/>
    <x v="6"/>
    <x v="58"/>
    <x v="1"/>
    <x v="1"/>
    <x v="0"/>
    <n v="19840"/>
  </r>
  <r>
    <m/>
    <x v="0"/>
    <x v="0"/>
    <x v="1"/>
    <x v="2"/>
    <x v="2"/>
    <x v="0"/>
    <x v="71"/>
    <x v="1"/>
    <x v="1"/>
    <x v="0"/>
    <n v="24190"/>
  </r>
  <r>
    <m/>
    <x v="0"/>
    <x v="0"/>
    <x v="1"/>
    <x v="2"/>
    <x v="2"/>
    <x v="0"/>
    <x v="72"/>
    <x v="1"/>
    <x v="1"/>
    <x v="0"/>
    <n v="24190"/>
  </r>
  <r>
    <m/>
    <x v="0"/>
    <x v="0"/>
    <x v="1"/>
    <x v="2"/>
    <x v="2"/>
    <x v="7"/>
    <x v="0"/>
    <x v="1"/>
    <x v="1"/>
    <x v="0"/>
    <n v="26610"/>
  </r>
  <r>
    <m/>
    <x v="0"/>
    <x v="0"/>
    <x v="1"/>
    <x v="2"/>
    <x v="2"/>
    <x v="7"/>
    <x v="56"/>
    <x v="1"/>
    <x v="1"/>
    <x v="0"/>
    <n v="26610"/>
  </r>
  <r>
    <m/>
    <x v="0"/>
    <x v="0"/>
    <x v="1"/>
    <x v="2"/>
    <x v="2"/>
    <x v="7"/>
    <x v="57"/>
    <x v="1"/>
    <x v="1"/>
    <x v="0"/>
    <n v="26610"/>
  </r>
  <r>
    <m/>
    <x v="0"/>
    <x v="0"/>
    <x v="1"/>
    <x v="2"/>
    <x v="2"/>
    <x v="7"/>
    <x v="58"/>
    <x v="1"/>
    <x v="1"/>
    <x v="0"/>
    <n v="26610"/>
  </r>
  <r>
    <m/>
    <x v="0"/>
    <x v="0"/>
    <x v="1"/>
    <x v="2"/>
    <x v="2"/>
    <x v="7"/>
    <x v="59"/>
    <x v="1"/>
    <x v="1"/>
    <x v="0"/>
    <n v="26610"/>
  </r>
  <r>
    <m/>
    <x v="0"/>
    <x v="0"/>
    <x v="1"/>
    <x v="2"/>
    <x v="2"/>
    <x v="7"/>
    <x v="60"/>
    <x v="1"/>
    <x v="1"/>
    <x v="0"/>
    <n v="26610"/>
  </r>
  <r>
    <m/>
    <x v="0"/>
    <x v="0"/>
    <x v="1"/>
    <x v="2"/>
    <x v="2"/>
    <x v="7"/>
    <x v="61"/>
    <x v="1"/>
    <x v="1"/>
    <x v="0"/>
    <n v="26610"/>
  </r>
  <r>
    <m/>
    <x v="0"/>
    <x v="0"/>
    <x v="1"/>
    <x v="2"/>
    <x v="2"/>
    <x v="7"/>
    <x v="62"/>
    <x v="1"/>
    <x v="1"/>
    <x v="0"/>
    <n v="26610"/>
  </r>
  <r>
    <m/>
    <x v="0"/>
    <x v="0"/>
    <x v="1"/>
    <x v="2"/>
    <x v="2"/>
    <x v="7"/>
    <x v="63"/>
    <x v="1"/>
    <x v="1"/>
    <x v="0"/>
    <n v="26610"/>
  </r>
  <r>
    <m/>
    <x v="0"/>
    <x v="0"/>
    <x v="1"/>
    <x v="2"/>
    <x v="2"/>
    <x v="7"/>
    <x v="64"/>
    <x v="1"/>
    <x v="1"/>
    <x v="0"/>
    <n v="26610"/>
  </r>
  <r>
    <m/>
    <x v="0"/>
    <x v="0"/>
    <x v="1"/>
    <x v="2"/>
    <x v="2"/>
    <x v="7"/>
    <x v="65"/>
    <x v="1"/>
    <x v="1"/>
    <x v="0"/>
    <n v="26610"/>
  </r>
  <r>
    <m/>
    <x v="0"/>
    <x v="0"/>
    <x v="1"/>
    <x v="2"/>
    <x v="2"/>
    <x v="7"/>
    <x v="66"/>
    <x v="1"/>
    <x v="1"/>
    <x v="0"/>
    <n v="26610"/>
  </r>
  <r>
    <m/>
    <x v="0"/>
    <x v="0"/>
    <x v="1"/>
    <x v="2"/>
    <x v="2"/>
    <x v="7"/>
    <x v="67"/>
    <x v="1"/>
    <x v="1"/>
    <x v="0"/>
    <n v="26610"/>
  </r>
  <r>
    <m/>
    <x v="0"/>
    <x v="0"/>
    <x v="1"/>
    <x v="2"/>
    <x v="2"/>
    <x v="7"/>
    <x v="68"/>
    <x v="1"/>
    <x v="1"/>
    <x v="0"/>
    <n v="26610"/>
  </r>
  <r>
    <m/>
    <x v="0"/>
    <x v="0"/>
    <x v="1"/>
    <x v="2"/>
    <x v="2"/>
    <x v="7"/>
    <x v="69"/>
    <x v="1"/>
    <x v="1"/>
    <x v="0"/>
    <n v="26610"/>
  </r>
  <r>
    <m/>
    <x v="0"/>
    <x v="0"/>
    <x v="1"/>
    <x v="2"/>
    <x v="2"/>
    <x v="7"/>
    <x v="70"/>
    <x v="1"/>
    <x v="1"/>
    <x v="0"/>
    <n v="26610"/>
  </r>
  <r>
    <m/>
    <x v="0"/>
    <x v="0"/>
    <x v="0"/>
    <x v="2"/>
    <x v="0"/>
    <x v="6"/>
    <x v="66"/>
    <x v="0"/>
    <x v="0"/>
    <x v="0"/>
    <n v="25190"/>
  </r>
  <r>
    <m/>
    <x v="0"/>
    <x v="0"/>
    <x v="0"/>
    <x v="2"/>
    <x v="0"/>
    <x v="6"/>
    <x v="2"/>
    <x v="0"/>
    <x v="0"/>
    <x v="0"/>
    <n v="25190"/>
  </r>
  <r>
    <m/>
    <x v="0"/>
    <x v="0"/>
    <x v="1"/>
    <x v="0"/>
    <x v="2"/>
    <x v="6"/>
    <x v="59"/>
    <x v="1"/>
    <x v="1"/>
    <x v="0"/>
    <n v="19840"/>
  </r>
  <r>
    <m/>
    <x v="0"/>
    <x v="0"/>
    <x v="1"/>
    <x v="2"/>
    <x v="2"/>
    <x v="7"/>
    <x v="2"/>
    <x v="1"/>
    <x v="1"/>
    <x v="0"/>
    <n v="26610"/>
  </r>
  <r>
    <m/>
    <x v="0"/>
    <x v="0"/>
    <x v="1"/>
    <x v="0"/>
    <x v="2"/>
    <x v="6"/>
    <x v="60"/>
    <x v="1"/>
    <x v="1"/>
    <x v="0"/>
    <n v="19840"/>
  </r>
  <r>
    <m/>
    <x v="0"/>
    <x v="0"/>
    <x v="1"/>
    <x v="0"/>
    <x v="2"/>
    <x v="6"/>
    <x v="61"/>
    <x v="1"/>
    <x v="1"/>
    <x v="0"/>
    <n v="19840"/>
  </r>
  <r>
    <m/>
    <x v="0"/>
    <x v="0"/>
    <x v="1"/>
    <x v="0"/>
    <x v="2"/>
    <x v="6"/>
    <x v="62"/>
    <x v="1"/>
    <x v="1"/>
    <x v="0"/>
    <n v="19840"/>
  </r>
  <r>
    <m/>
    <x v="0"/>
    <x v="0"/>
    <x v="1"/>
    <x v="0"/>
    <x v="2"/>
    <x v="6"/>
    <x v="63"/>
    <x v="1"/>
    <x v="1"/>
    <x v="0"/>
    <n v="19840"/>
  </r>
  <r>
    <m/>
    <x v="0"/>
    <x v="0"/>
    <x v="1"/>
    <x v="0"/>
    <x v="2"/>
    <x v="6"/>
    <x v="64"/>
    <x v="1"/>
    <x v="1"/>
    <x v="0"/>
    <n v="19840"/>
  </r>
  <r>
    <m/>
    <x v="0"/>
    <x v="0"/>
    <x v="1"/>
    <x v="0"/>
    <x v="2"/>
    <x v="6"/>
    <x v="65"/>
    <x v="1"/>
    <x v="1"/>
    <x v="0"/>
    <n v="19840"/>
  </r>
  <r>
    <m/>
    <x v="0"/>
    <x v="0"/>
    <x v="1"/>
    <x v="0"/>
    <x v="2"/>
    <x v="6"/>
    <x v="66"/>
    <x v="1"/>
    <x v="1"/>
    <x v="0"/>
    <n v="19840"/>
  </r>
  <r>
    <m/>
    <x v="0"/>
    <x v="0"/>
    <x v="1"/>
    <x v="0"/>
    <x v="2"/>
    <x v="6"/>
    <x v="67"/>
    <x v="1"/>
    <x v="1"/>
    <x v="0"/>
    <n v="19840"/>
  </r>
  <r>
    <m/>
    <x v="0"/>
    <x v="0"/>
    <x v="1"/>
    <x v="0"/>
    <x v="2"/>
    <x v="6"/>
    <x v="68"/>
    <x v="1"/>
    <x v="1"/>
    <x v="0"/>
    <n v="19840"/>
  </r>
  <r>
    <m/>
    <x v="0"/>
    <x v="0"/>
    <x v="1"/>
    <x v="0"/>
    <x v="2"/>
    <x v="6"/>
    <x v="69"/>
    <x v="1"/>
    <x v="1"/>
    <x v="0"/>
    <n v="19840"/>
  </r>
  <r>
    <m/>
    <x v="0"/>
    <x v="0"/>
    <x v="1"/>
    <x v="0"/>
    <x v="2"/>
    <x v="6"/>
    <x v="70"/>
    <x v="1"/>
    <x v="1"/>
    <x v="0"/>
    <n v="19840"/>
  </r>
  <r>
    <m/>
    <x v="0"/>
    <x v="0"/>
    <x v="1"/>
    <x v="0"/>
    <x v="2"/>
    <x v="6"/>
    <x v="2"/>
    <x v="1"/>
    <x v="1"/>
    <x v="0"/>
    <n v="19840"/>
  </r>
  <r>
    <m/>
    <x v="0"/>
    <x v="0"/>
    <x v="1"/>
    <x v="0"/>
    <x v="2"/>
    <x v="6"/>
    <x v="71"/>
    <x v="1"/>
    <x v="1"/>
    <x v="0"/>
    <n v="19840"/>
  </r>
  <r>
    <m/>
    <x v="0"/>
    <x v="0"/>
    <x v="1"/>
    <x v="0"/>
    <x v="2"/>
    <x v="6"/>
    <x v="72"/>
    <x v="1"/>
    <x v="1"/>
    <x v="0"/>
    <n v="19840"/>
  </r>
  <r>
    <m/>
    <x v="0"/>
    <x v="0"/>
    <x v="1"/>
    <x v="0"/>
    <x v="2"/>
    <x v="0"/>
    <x v="0"/>
    <x v="1"/>
    <x v="1"/>
    <x v="0"/>
    <n v="22780"/>
  </r>
  <r>
    <m/>
    <x v="0"/>
    <x v="0"/>
    <x v="1"/>
    <x v="0"/>
    <x v="2"/>
    <x v="0"/>
    <x v="56"/>
    <x v="1"/>
    <x v="1"/>
    <x v="0"/>
    <n v="22780"/>
  </r>
  <r>
    <m/>
    <x v="0"/>
    <x v="0"/>
    <x v="1"/>
    <x v="2"/>
    <x v="2"/>
    <x v="7"/>
    <x v="71"/>
    <x v="1"/>
    <x v="1"/>
    <x v="0"/>
    <n v="26610"/>
  </r>
  <r>
    <m/>
    <x v="0"/>
    <x v="0"/>
    <x v="1"/>
    <x v="2"/>
    <x v="2"/>
    <x v="7"/>
    <x v="72"/>
    <x v="1"/>
    <x v="1"/>
    <x v="0"/>
    <n v="26610"/>
  </r>
  <r>
    <m/>
    <x v="0"/>
    <x v="0"/>
    <x v="1"/>
    <x v="2"/>
    <x v="0"/>
    <x v="6"/>
    <x v="0"/>
    <x v="1"/>
    <x v="0"/>
    <x v="0"/>
    <n v="23830"/>
  </r>
  <r>
    <m/>
    <x v="0"/>
    <x v="0"/>
    <x v="1"/>
    <x v="2"/>
    <x v="0"/>
    <x v="6"/>
    <x v="56"/>
    <x v="1"/>
    <x v="0"/>
    <x v="0"/>
    <n v="23830"/>
  </r>
  <r>
    <m/>
    <x v="0"/>
    <x v="0"/>
    <x v="1"/>
    <x v="2"/>
    <x v="0"/>
    <x v="6"/>
    <x v="57"/>
    <x v="1"/>
    <x v="0"/>
    <x v="0"/>
    <n v="23830"/>
  </r>
  <r>
    <m/>
    <x v="0"/>
    <x v="0"/>
    <x v="1"/>
    <x v="2"/>
    <x v="0"/>
    <x v="6"/>
    <x v="58"/>
    <x v="1"/>
    <x v="0"/>
    <x v="0"/>
    <n v="23830"/>
  </r>
  <r>
    <m/>
    <x v="0"/>
    <x v="0"/>
    <x v="1"/>
    <x v="2"/>
    <x v="0"/>
    <x v="6"/>
    <x v="59"/>
    <x v="1"/>
    <x v="0"/>
    <x v="0"/>
    <n v="23830"/>
  </r>
  <r>
    <m/>
    <x v="0"/>
    <x v="0"/>
    <x v="1"/>
    <x v="2"/>
    <x v="0"/>
    <x v="6"/>
    <x v="60"/>
    <x v="1"/>
    <x v="0"/>
    <x v="0"/>
    <n v="23830"/>
  </r>
  <r>
    <m/>
    <x v="0"/>
    <x v="0"/>
    <x v="1"/>
    <x v="2"/>
    <x v="0"/>
    <x v="6"/>
    <x v="61"/>
    <x v="1"/>
    <x v="0"/>
    <x v="0"/>
    <n v="23830"/>
  </r>
  <r>
    <m/>
    <x v="0"/>
    <x v="0"/>
    <x v="1"/>
    <x v="2"/>
    <x v="0"/>
    <x v="6"/>
    <x v="62"/>
    <x v="1"/>
    <x v="0"/>
    <x v="0"/>
    <n v="23830"/>
  </r>
  <r>
    <m/>
    <x v="0"/>
    <x v="0"/>
    <x v="1"/>
    <x v="2"/>
    <x v="0"/>
    <x v="6"/>
    <x v="63"/>
    <x v="1"/>
    <x v="0"/>
    <x v="0"/>
    <n v="23830"/>
  </r>
  <r>
    <m/>
    <x v="0"/>
    <x v="0"/>
    <x v="1"/>
    <x v="2"/>
    <x v="0"/>
    <x v="6"/>
    <x v="64"/>
    <x v="1"/>
    <x v="0"/>
    <x v="0"/>
    <n v="23830"/>
  </r>
  <r>
    <m/>
    <x v="0"/>
    <x v="0"/>
    <x v="1"/>
    <x v="2"/>
    <x v="0"/>
    <x v="6"/>
    <x v="65"/>
    <x v="1"/>
    <x v="0"/>
    <x v="0"/>
    <n v="23830"/>
  </r>
  <r>
    <m/>
    <x v="0"/>
    <x v="0"/>
    <x v="1"/>
    <x v="2"/>
    <x v="0"/>
    <x v="6"/>
    <x v="66"/>
    <x v="1"/>
    <x v="0"/>
    <x v="0"/>
    <n v="23830"/>
  </r>
  <r>
    <m/>
    <x v="0"/>
    <x v="0"/>
    <x v="1"/>
    <x v="2"/>
    <x v="0"/>
    <x v="6"/>
    <x v="67"/>
    <x v="1"/>
    <x v="0"/>
    <x v="0"/>
    <n v="23830"/>
  </r>
  <r>
    <m/>
    <x v="0"/>
    <x v="0"/>
    <x v="1"/>
    <x v="2"/>
    <x v="0"/>
    <x v="6"/>
    <x v="68"/>
    <x v="1"/>
    <x v="0"/>
    <x v="0"/>
    <n v="23830"/>
  </r>
  <r>
    <m/>
    <x v="0"/>
    <x v="0"/>
    <x v="1"/>
    <x v="2"/>
    <x v="0"/>
    <x v="6"/>
    <x v="69"/>
    <x v="1"/>
    <x v="0"/>
    <x v="0"/>
    <n v="23830"/>
  </r>
  <r>
    <m/>
    <x v="0"/>
    <x v="0"/>
    <x v="1"/>
    <x v="2"/>
    <x v="0"/>
    <x v="6"/>
    <x v="70"/>
    <x v="1"/>
    <x v="0"/>
    <x v="0"/>
    <n v="23830"/>
  </r>
  <r>
    <m/>
    <x v="0"/>
    <x v="0"/>
    <x v="1"/>
    <x v="0"/>
    <x v="2"/>
    <x v="7"/>
    <x v="2"/>
    <x v="1"/>
    <x v="1"/>
    <x v="0"/>
    <n v="25020"/>
  </r>
  <r>
    <m/>
    <x v="0"/>
    <x v="0"/>
    <x v="1"/>
    <x v="0"/>
    <x v="0"/>
    <x v="6"/>
    <x v="0"/>
    <x v="1"/>
    <x v="0"/>
    <x v="0"/>
    <n v="21880"/>
  </r>
  <r>
    <m/>
    <x v="0"/>
    <x v="0"/>
    <x v="1"/>
    <x v="2"/>
    <x v="0"/>
    <x v="6"/>
    <x v="2"/>
    <x v="1"/>
    <x v="0"/>
    <x v="0"/>
    <n v="23830"/>
  </r>
  <r>
    <m/>
    <x v="0"/>
    <x v="0"/>
    <x v="1"/>
    <x v="2"/>
    <x v="0"/>
    <x v="6"/>
    <x v="71"/>
    <x v="1"/>
    <x v="0"/>
    <x v="0"/>
    <n v="23830"/>
  </r>
  <r>
    <m/>
    <x v="0"/>
    <x v="0"/>
    <x v="1"/>
    <x v="2"/>
    <x v="0"/>
    <x v="6"/>
    <x v="72"/>
    <x v="1"/>
    <x v="0"/>
    <x v="0"/>
    <n v="23830"/>
  </r>
  <r>
    <m/>
    <x v="0"/>
    <x v="0"/>
    <x v="1"/>
    <x v="2"/>
    <x v="0"/>
    <x v="0"/>
    <x v="0"/>
    <x v="1"/>
    <x v="0"/>
    <x v="0"/>
    <n v="27270"/>
  </r>
  <r>
    <m/>
    <x v="0"/>
    <x v="0"/>
    <x v="1"/>
    <x v="2"/>
    <x v="0"/>
    <x v="0"/>
    <x v="56"/>
    <x v="1"/>
    <x v="0"/>
    <x v="0"/>
    <n v="27270"/>
  </r>
  <r>
    <m/>
    <x v="0"/>
    <x v="0"/>
    <x v="1"/>
    <x v="2"/>
    <x v="0"/>
    <x v="0"/>
    <x v="57"/>
    <x v="1"/>
    <x v="0"/>
    <x v="0"/>
    <n v="27270"/>
  </r>
  <r>
    <m/>
    <x v="0"/>
    <x v="0"/>
    <x v="1"/>
    <x v="2"/>
    <x v="0"/>
    <x v="0"/>
    <x v="58"/>
    <x v="1"/>
    <x v="0"/>
    <x v="0"/>
    <n v="27270"/>
  </r>
  <r>
    <m/>
    <x v="0"/>
    <x v="0"/>
    <x v="1"/>
    <x v="2"/>
    <x v="0"/>
    <x v="0"/>
    <x v="59"/>
    <x v="1"/>
    <x v="0"/>
    <x v="0"/>
    <n v="27270"/>
  </r>
  <r>
    <m/>
    <x v="0"/>
    <x v="0"/>
    <x v="1"/>
    <x v="2"/>
    <x v="0"/>
    <x v="0"/>
    <x v="60"/>
    <x v="1"/>
    <x v="0"/>
    <x v="0"/>
    <n v="27270"/>
  </r>
  <r>
    <m/>
    <x v="0"/>
    <x v="0"/>
    <x v="1"/>
    <x v="2"/>
    <x v="0"/>
    <x v="0"/>
    <x v="61"/>
    <x v="1"/>
    <x v="0"/>
    <x v="0"/>
    <n v="27270"/>
  </r>
  <r>
    <m/>
    <x v="0"/>
    <x v="0"/>
    <x v="1"/>
    <x v="2"/>
    <x v="0"/>
    <x v="0"/>
    <x v="62"/>
    <x v="1"/>
    <x v="0"/>
    <x v="0"/>
    <n v="27270"/>
  </r>
  <r>
    <m/>
    <x v="0"/>
    <x v="0"/>
    <x v="1"/>
    <x v="2"/>
    <x v="0"/>
    <x v="0"/>
    <x v="63"/>
    <x v="1"/>
    <x v="0"/>
    <x v="0"/>
    <n v="27270"/>
  </r>
  <r>
    <m/>
    <x v="0"/>
    <x v="0"/>
    <x v="1"/>
    <x v="2"/>
    <x v="0"/>
    <x v="0"/>
    <x v="64"/>
    <x v="1"/>
    <x v="0"/>
    <x v="0"/>
    <n v="27270"/>
  </r>
  <r>
    <m/>
    <x v="0"/>
    <x v="0"/>
    <x v="1"/>
    <x v="2"/>
    <x v="0"/>
    <x v="0"/>
    <x v="65"/>
    <x v="1"/>
    <x v="0"/>
    <x v="0"/>
    <n v="27270"/>
  </r>
  <r>
    <m/>
    <x v="0"/>
    <x v="0"/>
    <x v="1"/>
    <x v="2"/>
    <x v="0"/>
    <x v="0"/>
    <x v="66"/>
    <x v="1"/>
    <x v="0"/>
    <x v="0"/>
    <n v="27270"/>
  </r>
  <r>
    <m/>
    <x v="0"/>
    <x v="0"/>
    <x v="1"/>
    <x v="2"/>
    <x v="0"/>
    <x v="0"/>
    <x v="67"/>
    <x v="1"/>
    <x v="0"/>
    <x v="0"/>
    <n v="27270"/>
  </r>
  <r>
    <m/>
    <x v="0"/>
    <x v="0"/>
    <x v="1"/>
    <x v="2"/>
    <x v="0"/>
    <x v="0"/>
    <x v="68"/>
    <x v="1"/>
    <x v="0"/>
    <x v="0"/>
    <n v="27270"/>
  </r>
  <r>
    <m/>
    <x v="0"/>
    <x v="0"/>
    <x v="1"/>
    <x v="2"/>
    <x v="0"/>
    <x v="0"/>
    <x v="69"/>
    <x v="1"/>
    <x v="0"/>
    <x v="0"/>
    <n v="27270"/>
  </r>
  <r>
    <m/>
    <x v="0"/>
    <x v="0"/>
    <x v="1"/>
    <x v="2"/>
    <x v="0"/>
    <x v="0"/>
    <x v="70"/>
    <x v="1"/>
    <x v="0"/>
    <x v="0"/>
    <n v="27270"/>
  </r>
  <r>
    <m/>
    <x v="0"/>
    <x v="0"/>
    <x v="0"/>
    <x v="0"/>
    <x v="0"/>
    <x v="7"/>
    <x v="0"/>
    <x v="0"/>
    <x v="0"/>
    <x v="0"/>
    <n v="28890"/>
  </r>
  <r>
    <m/>
    <x v="0"/>
    <x v="0"/>
    <x v="1"/>
    <x v="0"/>
    <x v="2"/>
    <x v="0"/>
    <x v="57"/>
    <x v="1"/>
    <x v="1"/>
    <x v="0"/>
    <n v="22780"/>
  </r>
  <r>
    <m/>
    <x v="0"/>
    <x v="0"/>
    <x v="1"/>
    <x v="2"/>
    <x v="0"/>
    <x v="0"/>
    <x v="2"/>
    <x v="1"/>
    <x v="0"/>
    <x v="0"/>
    <n v="27270"/>
  </r>
  <r>
    <m/>
    <x v="0"/>
    <x v="0"/>
    <x v="0"/>
    <x v="0"/>
    <x v="0"/>
    <x v="7"/>
    <x v="56"/>
    <x v="0"/>
    <x v="0"/>
    <x v="0"/>
    <n v="28890"/>
  </r>
  <r>
    <m/>
    <x v="0"/>
    <x v="0"/>
    <x v="0"/>
    <x v="0"/>
    <x v="0"/>
    <x v="7"/>
    <x v="57"/>
    <x v="0"/>
    <x v="0"/>
    <x v="0"/>
    <n v="28890"/>
  </r>
  <r>
    <m/>
    <x v="0"/>
    <x v="0"/>
    <x v="0"/>
    <x v="0"/>
    <x v="0"/>
    <x v="7"/>
    <x v="58"/>
    <x v="0"/>
    <x v="0"/>
    <x v="0"/>
    <n v="28890"/>
  </r>
  <r>
    <m/>
    <x v="0"/>
    <x v="0"/>
    <x v="0"/>
    <x v="0"/>
    <x v="0"/>
    <x v="7"/>
    <x v="59"/>
    <x v="0"/>
    <x v="0"/>
    <x v="0"/>
    <n v="28890"/>
  </r>
  <r>
    <m/>
    <x v="0"/>
    <x v="0"/>
    <x v="0"/>
    <x v="0"/>
    <x v="0"/>
    <x v="7"/>
    <x v="60"/>
    <x v="0"/>
    <x v="0"/>
    <x v="0"/>
    <n v="28890"/>
  </r>
  <r>
    <m/>
    <x v="0"/>
    <x v="0"/>
    <x v="0"/>
    <x v="0"/>
    <x v="0"/>
    <x v="7"/>
    <x v="61"/>
    <x v="0"/>
    <x v="0"/>
    <x v="0"/>
    <n v="28890"/>
  </r>
  <r>
    <m/>
    <x v="0"/>
    <x v="0"/>
    <x v="0"/>
    <x v="0"/>
    <x v="0"/>
    <x v="7"/>
    <x v="62"/>
    <x v="0"/>
    <x v="0"/>
    <x v="0"/>
    <n v="28890"/>
  </r>
  <r>
    <m/>
    <x v="0"/>
    <x v="0"/>
    <x v="0"/>
    <x v="0"/>
    <x v="0"/>
    <x v="7"/>
    <x v="63"/>
    <x v="0"/>
    <x v="0"/>
    <x v="0"/>
    <n v="28890"/>
  </r>
  <r>
    <m/>
    <x v="0"/>
    <x v="0"/>
    <x v="0"/>
    <x v="0"/>
    <x v="0"/>
    <x v="7"/>
    <x v="64"/>
    <x v="0"/>
    <x v="0"/>
    <x v="0"/>
    <n v="28890"/>
  </r>
  <r>
    <m/>
    <x v="0"/>
    <x v="0"/>
    <x v="0"/>
    <x v="0"/>
    <x v="0"/>
    <x v="7"/>
    <x v="65"/>
    <x v="0"/>
    <x v="0"/>
    <x v="0"/>
    <n v="28890"/>
  </r>
  <r>
    <m/>
    <x v="0"/>
    <x v="0"/>
    <x v="0"/>
    <x v="0"/>
    <x v="0"/>
    <x v="7"/>
    <x v="66"/>
    <x v="0"/>
    <x v="0"/>
    <x v="0"/>
    <n v="28890"/>
  </r>
  <r>
    <m/>
    <x v="0"/>
    <x v="0"/>
    <x v="0"/>
    <x v="0"/>
    <x v="0"/>
    <x v="7"/>
    <x v="67"/>
    <x v="0"/>
    <x v="0"/>
    <x v="0"/>
    <n v="28890"/>
  </r>
  <r>
    <m/>
    <x v="0"/>
    <x v="0"/>
    <x v="0"/>
    <x v="0"/>
    <x v="0"/>
    <x v="7"/>
    <x v="68"/>
    <x v="0"/>
    <x v="0"/>
    <x v="0"/>
    <n v="28890"/>
  </r>
  <r>
    <m/>
    <x v="0"/>
    <x v="0"/>
    <x v="0"/>
    <x v="0"/>
    <x v="0"/>
    <x v="7"/>
    <x v="69"/>
    <x v="0"/>
    <x v="0"/>
    <x v="0"/>
    <n v="28890"/>
  </r>
  <r>
    <m/>
    <x v="0"/>
    <x v="0"/>
    <x v="0"/>
    <x v="0"/>
    <x v="0"/>
    <x v="7"/>
    <x v="70"/>
    <x v="0"/>
    <x v="0"/>
    <x v="0"/>
    <n v="28890"/>
  </r>
  <r>
    <m/>
    <x v="0"/>
    <x v="0"/>
    <x v="0"/>
    <x v="0"/>
    <x v="0"/>
    <x v="7"/>
    <x v="2"/>
    <x v="0"/>
    <x v="0"/>
    <x v="0"/>
    <n v="28890"/>
  </r>
  <r>
    <m/>
    <x v="0"/>
    <x v="0"/>
    <x v="0"/>
    <x v="0"/>
    <x v="0"/>
    <x v="7"/>
    <x v="71"/>
    <x v="0"/>
    <x v="0"/>
    <x v="0"/>
    <n v="28890"/>
  </r>
  <r>
    <m/>
    <x v="0"/>
    <x v="0"/>
    <x v="0"/>
    <x v="0"/>
    <x v="0"/>
    <x v="7"/>
    <x v="72"/>
    <x v="0"/>
    <x v="0"/>
    <x v="0"/>
    <n v="28890"/>
  </r>
  <r>
    <m/>
    <x v="0"/>
    <x v="0"/>
    <x v="1"/>
    <x v="0"/>
    <x v="2"/>
    <x v="0"/>
    <x v="58"/>
    <x v="1"/>
    <x v="1"/>
    <x v="0"/>
    <n v="22780"/>
  </r>
  <r>
    <m/>
    <x v="0"/>
    <x v="0"/>
    <x v="1"/>
    <x v="0"/>
    <x v="2"/>
    <x v="0"/>
    <x v="59"/>
    <x v="1"/>
    <x v="1"/>
    <x v="0"/>
    <n v="22780"/>
  </r>
  <r>
    <m/>
    <x v="0"/>
    <x v="0"/>
    <x v="1"/>
    <x v="0"/>
    <x v="2"/>
    <x v="0"/>
    <x v="60"/>
    <x v="1"/>
    <x v="1"/>
    <x v="0"/>
    <n v="22780"/>
  </r>
  <r>
    <m/>
    <x v="0"/>
    <x v="0"/>
    <x v="1"/>
    <x v="0"/>
    <x v="2"/>
    <x v="0"/>
    <x v="61"/>
    <x v="1"/>
    <x v="1"/>
    <x v="0"/>
    <n v="22780"/>
  </r>
  <r>
    <m/>
    <x v="0"/>
    <x v="0"/>
    <x v="1"/>
    <x v="0"/>
    <x v="2"/>
    <x v="0"/>
    <x v="62"/>
    <x v="1"/>
    <x v="1"/>
    <x v="0"/>
    <n v="22780"/>
  </r>
  <r>
    <m/>
    <x v="0"/>
    <x v="0"/>
    <x v="1"/>
    <x v="0"/>
    <x v="2"/>
    <x v="0"/>
    <x v="63"/>
    <x v="1"/>
    <x v="1"/>
    <x v="0"/>
    <n v="22780"/>
  </r>
  <r>
    <m/>
    <x v="0"/>
    <x v="0"/>
    <x v="1"/>
    <x v="0"/>
    <x v="2"/>
    <x v="0"/>
    <x v="64"/>
    <x v="1"/>
    <x v="1"/>
    <x v="0"/>
    <n v="22780"/>
  </r>
  <r>
    <m/>
    <x v="0"/>
    <x v="0"/>
    <x v="1"/>
    <x v="0"/>
    <x v="2"/>
    <x v="0"/>
    <x v="65"/>
    <x v="1"/>
    <x v="1"/>
    <x v="0"/>
    <n v="22780"/>
  </r>
  <r>
    <m/>
    <x v="0"/>
    <x v="0"/>
    <x v="1"/>
    <x v="0"/>
    <x v="2"/>
    <x v="0"/>
    <x v="66"/>
    <x v="1"/>
    <x v="1"/>
    <x v="0"/>
    <n v="22780"/>
  </r>
  <r>
    <m/>
    <x v="0"/>
    <x v="0"/>
    <x v="1"/>
    <x v="0"/>
    <x v="2"/>
    <x v="0"/>
    <x v="67"/>
    <x v="1"/>
    <x v="1"/>
    <x v="0"/>
    <n v="22780"/>
  </r>
  <r>
    <m/>
    <x v="0"/>
    <x v="0"/>
    <x v="1"/>
    <x v="0"/>
    <x v="2"/>
    <x v="0"/>
    <x v="68"/>
    <x v="1"/>
    <x v="1"/>
    <x v="0"/>
    <n v="22780"/>
  </r>
  <r>
    <m/>
    <x v="0"/>
    <x v="0"/>
    <x v="1"/>
    <x v="0"/>
    <x v="2"/>
    <x v="0"/>
    <x v="69"/>
    <x v="1"/>
    <x v="1"/>
    <x v="0"/>
    <n v="22780"/>
  </r>
  <r>
    <m/>
    <x v="0"/>
    <x v="0"/>
    <x v="1"/>
    <x v="0"/>
    <x v="2"/>
    <x v="0"/>
    <x v="70"/>
    <x v="1"/>
    <x v="1"/>
    <x v="0"/>
    <n v="22780"/>
  </r>
  <r>
    <m/>
    <x v="0"/>
    <x v="0"/>
    <x v="1"/>
    <x v="0"/>
    <x v="2"/>
    <x v="0"/>
    <x v="2"/>
    <x v="1"/>
    <x v="1"/>
    <x v="0"/>
    <n v="22780"/>
  </r>
  <r>
    <m/>
    <x v="0"/>
    <x v="0"/>
    <x v="1"/>
    <x v="0"/>
    <x v="2"/>
    <x v="0"/>
    <x v="71"/>
    <x v="1"/>
    <x v="1"/>
    <x v="0"/>
    <n v="22780"/>
  </r>
  <r>
    <m/>
    <x v="0"/>
    <x v="0"/>
    <x v="1"/>
    <x v="0"/>
    <x v="2"/>
    <x v="0"/>
    <x v="72"/>
    <x v="1"/>
    <x v="1"/>
    <x v="0"/>
    <n v="22780"/>
  </r>
  <r>
    <m/>
    <x v="0"/>
    <x v="0"/>
    <x v="1"/>
    <x v="2"/>
    <x v="0"/>
    <x v="0"/>
    <x v="71"/>
    <x v="1"/>
    <x v="0"/>
    <x v="0"/>
    <n v="27270"/>
  </r>
  <r>
    <m/>
    <x v="0"/>
    <x v="0"/>
    <x v="1"/>
    <x v="2"/>
    <x v="0"/>
    <x v="0"/>
    <x v="72"/>
    <x v="1"/>
    <x v="0"/>
    <x v="0"/>
    <n v="27270"/>
  </r>
  <r>
    <m/>
    <x v="0"/>
    <x v="0"/>
    <x v="1"/>
    <x v="2"/>
    <x v="0"/>
    <x v="7"/>
    <x v="0"/>
    <x v="1"/>
    <x v="0"/>
    <x v="0"/>
    <n v="29880"/>
  </r>
  <r>
    <m/>
    <x v="0"/>
    <x v="0"/>
    <x v="1"/>
    <x v="2"/>
    <x v="0"/>
    <x v="7"/>
    <x v="56"/>
    <x v="1"/>
    <x v="0"/>
    <x v="0"/>
    <n v="29880"/>
  </r>
  <r>
    <m/>
    <x v="0"/>
    <x v="0"/>
    <x v="1"/>
    <x v="2"/>
    <x v="0"/>
    <x v="7"/>
    <x v="57"/>
    <x v="1"/>
    <x v="0"/>
    <x v="0"/>
    <n v="29880"/>
  </r>
  <r>
    <m/>
    <x v="0"/>
    <x v="0"/>
    <x v="1"/>
    <x v="2"/>
    <x v="0"/>
    <x v="7"/>
    <x v="58"/>
    <x v="1"/>
    <x v="0"/>
    <x v="0"/>
    <n v="29880"/>
  </r>
  <r>
    <m/>
    <x v="0"/>
    <x v="0"/>
    <x v="1"/>
    <x v="2"/>
    <x v="0"/>
    <x v="7"/>
    <x v="59"/>
    <x v="1"/>
    <x v="0"/>
    <x v="0"/>
    <n v="29880"/>
  </r>
  <r>
    <m/>
    <x v="0"/>
    <x v="0"/>
    <x v="1"/>
    <x v="2"/>
    <x v="0"/>
    <x v="7"/>
    <x v="60"/>
    <x v="1"/>
    <x v="0"/>
    <x v="0"/>
    <n v="29880"/>
  </r>
  <r>
    <m/>
    <x v="0"/>
    <x v="0"/>
    <x v="1"/>
    <x v="2"/>
    <x v="0"/>
    <x v="7"/>
    <x v="61"/>
    <x v="1"/>
    <x v="0"/>
    <x v="0"/>
    <n v="29880"/>
  </r>
  <r>
    <m/>
    <x v="0"/>
    <x v="0"/>
    <x v="1"/>
    <x v="2"/>
    <x v="0"/>
    <x v="7"/>
    <x v="62"/>
    <x v="1"/>
    <x v="0"/>
    <x v="0"/>
    <n v="29880"/>
  </r>
  <r>
    <m/>
    <x v="0"/>
    <x v="0"/>
    <x v="1"/>
    <x v="2"/>
    <x v="0"/>
    <x v="7"/>
    <x v="63"/>
    <x v="1"/>
    <x v="0"/>
    <x v="0"/>
    <n v="29880"/>
  </r>
  <r>
    <m/>
    <x v="0"/>
    <x v="0"/>
    <x v="1"/>
    <x v="2"/>
    <x v="0"/>
    <x v="7"/>
    <x v="64"/>
    <x v="1"/>
    <x v="0"/>
    <x v="0"/>
    <n v="29880"/>
  </r>
  <r>
    <m/>
    <x v="0"/>
    <x v="0"/>
    <x v="1"/>
    <x v="2"/>
    <x v="0"/>
    <x v="7"/>
    <x v="65"/>
    <x v="1"/>
    <x v="0"/>
    <x v="0"/>
    <n v="29880"/>
  </r>
  <r>
    <m/>
    <x v="0"/>
    <x v="0"/>
    <x v="1"/>
    <x v="2"/>
    <x v="0"/>
    <x v="7"/>
    <x v="66"/>
    <x v="1"/>
    <x v="0"/>
    <x v="0"/>
    <n v="29880"/>
  </r>
  <r>
    <m/>
    <x v="0"/>
    <x v="0"/>
    <x v="1"/>
    <x v="2"/>
    <x v="0"/>
    <x v="7"/>
    <x v="67"/>
    <x v="1"/>
    <x v="0"/>
    <x v="0"/>
    <n v="29880"/>
  </r>
  <r>
    <m/>
    <x v="0"/>
    <x v="0"/>
    <x v="1"/>
    <x v="2"/>
    <x v="0"/>
    <x v="7"/>
    <x v="68"/>
    <x v="1"/>
    <x v="0"/>
    <x v="0"/>
    <n v="29880"/>
  </r>
  <r>
    <m/>
    <x v="0"/>
    <x v="0"/>
    <x v="1"/>
    <x v="2"/>
    <x v="0"/>
    <x v="7"/>
    <x v="69"/>
    <x v="1"/>
    <x v="0"/>
    <x v="0"/>
    <n v="29880"/>
  </r>
  <r>
    <m/>
    <x v="0"/>
    <x v="0"/>
    <x v="1"/>
    <x v="2"/>
    <x v="0"/>
    <x v="7"/>
    <x v="70"/>
    <x v="1"/>
    <x v="0"/>
    <x v="0"/>
    <n v="29880"/>
  </r>
  <r>
    <m/>
    <x v="0"/>
    <x v="0"/>
    <x v="0"/>
    <x v="2"/>
    <x v="2"/>
    <x v="6"/>
    <x v="0"/>
    <x v="0"/>
    <x v="1"/>
    <x v="0"/>
    <n v="22570"/>
  </r>
  <r>
    <m/>
    <x v="0"/>
    <x v="0"/>
    <x v="1"/>
    <x v="0"/>
    <x v="2"/>
    <x v="7"/>
    <x v="0"/>
    <x v="1"/>
    <x v="1"/>
    <x v="0"/>
    <n v="25020"/>
  </r>
  <r>
    <m/>
    <x v="0"/>
    <x v="0"/>
    <x v="1"/>
    <x v="2"/>
    <x v="0"/>
    <x v="7"/>
    <x v="2"/>
    <x v="1"/>
    <x v="0"/>
    <x v="0"/>
    <n v="29880"/>
  </r>
  <r>
    <m/>
    <x v="0"/>
    <x v="0"/>
    <x v="0"/>
    <x v="2"/>
    <x v="2"/>
    <x v="6"/>
    <x v="56"/>
    <x v="0"/>
    <x v="1"/>
    <x v="0"/>
    <n v="22570"/>
  </r>
  <r>
    <m/>
    <x v="0"/>
    <x v="0"/>
    <x v="0"/>
    <x v="2"/>
    <x v="2"/>
    <x v="6"/>
    <x v="57"/>
    <x v="0"/>
    <x v="1"/>
    <x v="0"/>
    <n v="22570"/>
  </r>
  <r>
    <m/>
    <x v="0"/>
    <x v="0"/>
    <x v="0"/>
    <x v="2"/>
    <x v="2"/>
    <x v="6"/>
    <x v="58"/>
    <x v="0"/>
    <x v="1"/>
    <x v="0"/>
    <n v="22570"/>
  </r>
  <r>
    <m/>
    <x v="0"/>
    <x v="0"/>
    <x v="0"/>
    <x v="2"/>
    <x v="2"/>
    <x v="6"/>
    <x v="59"/>
    <x v="0"/>
    <x v="1"/>
    <x v="0"/>
    <n v="22570"/>
  </r>
  <r>
    <m/>
    <x v="0"/>
    <x v="0"/>
    <x v="0"/>
    <x v="2"/>
    <x v="2"/>
    <x v="6"/>
    <x v="60"/>
    <x v="0"/>
    <x v="1"/>
    <x v="0"/>
    <n v="22570"/>
  </r>
  <r>
    <m/>
    <x v="0"/>
    <x v="0"/>
    <x v="0"/>
    <x v="2"/>
    <x v="2"/>
    <x v="6"/>
    <x v="61"/>
    <x v="0"/>
    <x v="1"/>
    <x v="0"/>
    <n v="22570"/>
  </r>
  <r>
    <m/>
    <x v="0"/>
    <x v="0"/>
    <x v="0"/>
    <x v="2"/>
    <x v="2"/>
    <x v="6"/>
    <x v="62"/>
    <x v="0"/>
    <x v="1"/>
    <x v="0"/>
    <n v="22570"/>
  </r>
  <r>
    <m/>
    <x v="0"/>
    <x v="0"/>
    <x v="0"/>
    <x v="2"/>
    <x v="2"/>
    <x v="6"/>
    <x v="63"/>
    <x v="0"/>
    <x v="1"/>
    <x v="0"/>
    <n v="22570"/>
  </r>
  <r>
    <m/>
    <x v="0"/>
    <x v="0"/>
    <x v="0"/>
    <x v="2"/>
    <x v="2"/>
    <x v="6"/>
    <x v="64"/>
    <x v="0"/>
    <x v="1"/>
    <x v="0"/>
    <n v="22570"/>
  </r>
  <r>
    <m/>
    <x v="0"/>
    <x v="0"/>
    <x v="0"/>
    <x v="2"/>
    <x v="2"/>
    <x v="6"/>
    <x v="65"/>
    <x v="0"/>
    <x v="1"/>
    <x v="0"/>
    <n v="22570"/>
  </r>
  <r>
    <m/>
    <x v="0"/>
    <x v="0"/>
    <x v="0"/>
    <x v="2"/>
    <x v="2"/>
    <x v="6"/>
    <x v="66"/>
    <x v="0"/>
    <x v="1"/>
    <x v="0"/>
    <n v="22570"/>
  </r>
  <r>
    <m/>
    <x v="0"/>
    <x v="0"/>
    <x v="0"/>
    <x v="2"/>
    <x v="2"/>
    <x v="6"/>
    <x v="67"/>
    <x v="0"/>
    <x v="1"/>
    <x v="0"/>
    <n v="22570"/>
  </r>
  <r>
    <m/>
    <x v="0"/>
    <x v="0"/>
    <x v="0"/>
    <x v="2"/>
    <x v="2"/>
    <x v="6"/>
    <x v="68"/>
    <x v="0"/>
    <x v="1"/>
    <x v="0"/>
    <n v="22570"/>
  </r>
  <r>
    <m/>
    <x v="0"/>
    <x v="0"/>
    <x v="0"/>
    <x v="2"/>
    <x v="2"/>
    <x v="6"/>
    <x v="69"/>
    <x v="0"/>
    <x v="1"/>
    <x v="0"/>
    <n v="22570"/>
  </r>
  <r>
    <m/>
    <x v="0"/>
    <x v="0"/>
    <x v="0"/>
    <x v="2"/>
    <x v="2"/>
    <x v="6"/>
    <x v="70"/>
    <x v="0"/>
    <x v="1"/>
    <x v="0"/>
    <n v="22570"/>
  </r>
  <r>
    <m/>
    <x v="0"/>
    <x v="0"/>
    <x v="0"/>
    <x v="2"/>
    <x v="2"/>
    <x v="6"/>
    <x v="2"/>
    <x v="0"/>
    <x v="1"/>
    <x v="0"/>
    <n v="22570"/>
  </r>
  <r>
    <m/>
    <x v="0"/>
    <x v="0"/>
    <x v="0"/>
    <x v="2"/>
    <x v="2"/>
    <x v="6"/>
    <x v="71"/>
    <x v="0"/>
    <x v="1"/>
    <x v="0"/>
    <n v="22570"/>
  </r>
  <r>
    <m/>
    <x v="0"/>
    <x v="0"/>
    <x v="0"/>
    <x v="2"/>
    <x v="2"/>
    <x v="6"/>
    <x v="72"/>
    <x v="0"/>
    <x v="1"/>
    <x v="0"/>
    <n v="22570"/>
  </r>
  <r>
    <m/>
    <x v="0"/>
    <x v="0"/>
    <x v="0"/>
    <x v="2"/>
    <x v="2"/>
    <x v="0"/>
    <x v="0"/>
    <x v="0"/>
    <x v="1"/>
    <x v="0"/>
    <n v="25300"/>
  </r>
  <r>
    <m/>
    <x v="0"/>
    <x v="0"/>
    <x v="0"/>
    <x v="2"/>
    <x v="2"/>
    <x v="0"/>
    <x v="56"/>
    <x v="0"/>
    <x v="1"/>
    <x v="0"/>
    <n v="25300"/>
  </r>
  <r>
    <m/>
    <x v="0"/>
    <x v="0"/>
    <x v="0"/>
    <x v="2"/>
    <x v="2"/>
    <x v="0"/>
    <x v="57"/>
    <x v="0"/>
    <x v="1"/>
    <x v="0"/>
    <n v="25300"/>
  </r>
  <r>
    <m/>
    <x v="0"/>
    <x v="0"/>
    <x v="0"/>
    <x v="2"/>
    <x v="2"/>
    <x v="0"/>
    <x v="58"/>
    <x v="0"/>
    <x v="1"/>
    <x v="0"/>
    <n v="25300"/>
  </r>
  <r>
    <m/>
    <x v="0"/>
    <x v="0"/>
    <x v="0"/>
    <x v="2"/>
    <x v="2"/>
    <x v="0"/>
    <x v="59"/>
    <x v="0"/>
    <x v="1"/>
    <x v="0"/>
    <n v="25300"/>
  </r>
  <r>
    <m/>
    <x v="0"/>
    <x v="0"/>
    <x v="0"/>
    <x v="2"/>
    <x v="2"/>
    <x v="0"/>
    <x v="60"/>
    <x v="0"/>
    <x v="1"/>
    <x v="0"/>
    <n v="25300"/>
  </r>
  <r>
    <m/>
    <x v="0"/>
    <x v="0"/>
    <x v="0"/>
    <x v="2"/>
    <x v="2"/>
    <x v="0"/>
    <x v="61"/>
    <x v="0"/>
    <x v="1"/>
    <x v="0"/>
    <n v="25300"/>
  </r>
  <r>
    <m/>
    <x v="0"/>
    <x v="0"/>
    <x v="0"/>
    <x v="2"/>
    <x v="2"/>
    <x v="0"/>
    <x v="62"/>
    <x v="0"/>
    <x v="1"/>
    <x v="0"/>
    <n v="25300"/>
  </r>
  <r>
    <m/>
    <x v="0"/>
    <x v="0"/>
    <x v="0"/>
    <x v="2"/>
    <x v="2"/>
    <x v="0"/>
    <x v="63"/>
    <x v="0"/>
    <x v="1"/>
    <x v="0"/>
    <n v="25300"/>
  </r>
  <r>
    <m/>
    <x v="0"/>
    <x v="0"/>
    <x v="0"/>
    <x v="2"/>
    <x v="2"/>
    <x v="0"/>
    <x v="64"/>
    <x v="0"/>
    <x v="1"/>
    <x v="0"/>
    <n v="25300"/>
  </r>
  <r>
    <m/>
    <x v="0"/>
    <x v="0"/>
    <x v="0"/>
    <x v="2"/>
    <x v="2"/>
    <x v="0"/>
    <x v="65"/>
    <x v="0"/>
    <x v="1"/>
    <x v="0"/>
    <n v="25300"/>
  </r>
  <r>
    <m/>
    <x v="0"/>
    <x v="0"/>
    <x v="0"/>
    <x v="2"/>
    <x v="2"/>
    <x v="0"/>
    <x v="66"/>
    <x v="0"/>
    <x v="1"/>
    <x v="0"/>
    <n v="25300"/>
  </r>
  <r>
    <m/>
    <x v="0"/>
    <x v="0"/>
    <x v="0"/>
    <x v="2"/>
    <x v="2"/>
    <x v="0"/>
    <x v="67"/>
    <x v="0"/>
    <x v="1"/>
    <x v="0"/>
    <n v="25300"/>
  </r>
  <r>
    <m/>
    <x v="0"/>
    <x v="0"/>
    <x v="0"/>
    <x v="2"/>
    <x v="2"/>
    <x v="0"/>
    <x v="68"/>
    <x v="0"/>
    <x v="1"/>
    <x v="0"/>
    <n v="25300"/>
  </r>
  <r>
    <m/>
    <x v="0"/>
    <x v="0"/>
    <x v="0"/>
    <x v="2"/>
    <x v="2"/>
    <x v="0"/>
    <x v="69"/>
    <x v="0"/>
    <x v="1"/>
    <x v="0"/>
    <n v="25300"/>
  </r>
  <r>
    <m/>
    <x v="0"/>
    <x v="0"/>
    <x v="0"/>
    <x v="2"/>
    <x v="2"/>
    <x v="0"/>
    <x v="70"/>
    <x v="0"/>
    <x v="1"/>
    <x v="0"/>
    <n v="25300"/>
  </r>
  <r>
    <m/>
    <x v="0"/>
    <x v="0"/>
    <x v="0"/>
    <x v="2"/>
    <x v="2"/>
    <x v="0"/>
    <x v="2"/>
    <x v="0"/>
    <x v="1"/>
    <x v="0"/>
    <n v="25300"/>
  </r>
  <r>
    <m/>
    <x v="0"/>
    <x v="0"/>
    <x v="0"/>
    <x v="2"/>
    <x v="2"/>
    <x v="0"/>
    <x v="71"/>
    <x v="0"/>
    <x v="1"/>
    <x v="0"/>
    <n v="25300"/>
  </r>
  <r>
    <m/>
    <x v="0"/>
    <x v="0"/>
    <x v="0"/>
    <x v="2"/>
    <x v="2"/>
    <x v="0"/>
    <x v="72"/>
    <x v="0"/>
    <x v="1"/>
    <x v="0"/>
    <n v="25300"/>
  </r>
  <r>
    <m/>
    <x v="0"/>
    <x v="0"/>
    <x v="0"/>
    <x v="2"/>
    <x v="2"/>
    <x v="7"/>
    <x v="0"/>
    <x v="0"/>
    <x v="1"/>
    <x v="0"/>
    <n v="27800"/>
  </r>
  <r>
    <m/>
    <x v="0"/>
    <x v="0"/>
    <x v="0"/>
    <x v="2"/>
    <x v="2"/>
    <x v="7"/>
    <x v="56"/>
    <x v="0"/>
    <x v="1"/>
    <x v="0"/>
    <n v="27800"/>
  </r>
  <r>
    <m/>
    <x v="0"/>
    <x v="0"/>
    <x v="0"/>
    <x v="2"/>
    <x v="2"/>
    <x v="7"/>
    <x v="57"/>
    <x v="0"/>
    <x v="1"/>
    <x v="0"/>
    <n v="27800"/>
  </r>
  <r>
    <m/>
    <x v="0"/>
    <x v="0"/>
    <x v="0"/>
    <x v="2"/>
    <x v="2"/>
    <x v="7"/>
    <x v="58"/>
    <x v="0"/>
    <x v="1"/>
    <x v="0"/>
    <n v="27800"/>
  </r>
  <r>
    <m/>
    <x v="0"/>
    <x v="0"/>
    <x v="0"/>
    <x v="2"/>
    <x v="2"/>
    <x v="7"/>
    <x v="59"/>
    <x v="0"/>
    <x v="1"/>
    <x v="0"/>
    <n v="27800"/>
  </r>
  <r>
    <m/>
    <x v="0"/>
    <x v="0"/>
    <x v="0"/>
    <x v="2"/>
    <x v="2"/>
    <x v="7"/>
    <x v="60"/>
    <x v="0"/>
    <x v="1"/>
    <x v="0"/>
    <n v="27800"/>
  </r>
  <r>
    <m/>
    <x v="0"/>
    <x v="0"/>
    <x v="0"/>
    <x v="2"/>
    <x v="2"/>
    <x v="7"/>
    <x v="61"/>
    <x v="0"/>
    <x v="1"/>
    <x v="0"/>
    <n v="27800"/>
  </r>
  <r>
    <m/>
    <x v="0"/>
    <x v="0"/>
    <x v="0"/>
    <x v="2"/>
    <x v="2"/>
    <x v="7"/>
    <x v="62"/>
    <x v="0"/>
    <x v="1"/>
    <x v="0"/>
    <n v="27800"/>
  </r>
  <r>
    <m/>
    <x v="0"/>
    <x v="0"/>
    <x v="0"/>
    <x v="2"/>
    <x v="2"/>
    <x v="7"/>
    <x v="63"/>
    <x v="0"/>
    <x v="1"/>
    <x v="0"/>
    <n v="27800"/>
  </r>
  <r>
    <m/>
    <x v="0"/>
    <x v="0"/>
    <x v="0"/>
    <x v="2"/>
    <x v="2"/>
    <x v="7"/>
    <x v="64"/>
    <x v="0"/>
    <x v="1"/>
    <x v="0"/>
    <n v="27800"/>
  </r>
  <r>
    <m/>
    <x v="0"/>
    <x v="0"/>
    <x v="0"/>
    <x v="2"/>
    <x v="2"/>
    <x v="7"/>
    <x v="65"/>
    <x v="0"/>
    <x v="1"/>
    <x v="0"/>
    <n v="27800"/>
  </r>
  <r>
    <m/>
    <x v="0"/>
    <x v="0"/>
    <x v="0"/>
    <x v="2"/>
    <x v="2"/>
    <x v="7"/>
    <x v="66"/>
    <x v="0"/>
    <x v="1"/>
    <x v="0"/>
    <n v="27800"/>
  </r>
  <r>
    <m/>
    <x v="0"/>
    <x v="0"/>
    <x v="0"/>
    <x v="2"/>
    <x v="2"/>
    <x v="7"/>
    <x v="67"/>
    <x v="0"/>
    <x v="1"/>
    <x v="0"/>
    <n v="27800"/>
  </r>
  <r>
    <m/>
    <x v="0"/>
    <x v="0"/>
    <x v="0"/>
    <x v="2"/>
    <x v="2"/>
    <x v="7"/>
    <x v="68"/>
    <x v="0"/>
    <x v="1"/>
    <x v="0"/>
    <n v="27800"/>
  </r>
  <r>
    <m/>
    <x v="0"/>
    <x v="0"/>
    <x v="0"/>
    <x v="2"/>
    <x v="2"/>
    <x v="7"/>
    <x v="69"/>
    <x v="0"/>
    <x v="1"/>
    <x v="0"/>
    <n v="27800"/>
  </r>
  <r>
    <m/>
    <x v="0"/>
    <x v="0"/>
    <x v="0"/>
    <x v="2"/>
    <x v="2"/>
    <x v="7"/>
    <x v="70"/>
    <x v="0"/>
    <x v="1"/>
    <x v="0"/>
    <n v="27800"/>
  </r>
  <r>
    <m/>
    <x v="0"/>
    <x v="0"/>
    <x v="0"/>
    <x v="2"/>
    <x v="2"/>
    <x v="7"/>
    <x v="2"/>
    <x v="0"/>
    <x v="1"/>
    <x v="0"/>
    <n v="27800"/>
  </r>
  <r>
    <m/>
    <x v="0"/>
    <x v="0"/>
    <x v="0"/>
    <x v="2"/>
    <x v="2"/>
    <x v="7"/>
    <x v="71"/>
    <x v="0"/>
    <x v="1"/>
    <x v="0"/>
    <n v="27800"/>
  </r>
  <r>
    <m/>
    <x v="0"/>
    <x v="0"/>
    <x v="0"/>
    <x v="2"/>
    <x v="2"/>
    <x v="7"/>
    <x v="72"/>
    <x v="0"/>
    <x v="1"/>
    <x v="0"/>
    <n v="27800"/>
  </r>
  <r>
    <m/>
    <x v="0"/>
    <x v="0"/>
    <x v="0"/>
    <x v="2"/>
    <x v="0"/>
    <x v="6"/>
    <x v="0"/>
    <x v="0"/>
    <x v="0"/>
    <x v="0"/>
    <n v="25190"/>
  </r>
  <r>
    <m/>
    <x v="0"/>
    <x v="0"/>
    <x v="1"/>
    <x v="2"/>
    <x v="0"/>
    <x v="7"/>
    <x v="71"/>
    <x v="1"/>
    <x v="0"/>
    <x v="0"/>
    <n v="29880"/>
  </r>
  <r>
    <m/>
    <x v="0"/>
    <x v="0"/>
    <x v="1"/>
    <x v="2"/>
    <x v="0"/>
    <x v="7"/>
    <x v="72"/>
    <x v="1"/>
    <x v="0"/>
    <x v="0"/>
    <n v="29880"/>
  </r>
  <r>
    <m/>
    <x v="0"/>
    <x v="0"/>
    <x v="1"/>
    <x v="0"/>
    <x v="2"/>
    <x v="7"/>
    <x v="56"/>
    <x v="1"/>
    <x v="1"/>
    <x v="0"/>
    <n v="25020"/>
  </r>
  <r>
    <m/>
    <x v="0"/>
    <x v="0"/>
    <x v="1"/>
    <x v="0"/>
    <x v="2"/>
    <x v="7"/>
    <x v="57"/>
    <x v="1"/>
    <x v="1"/>
    <x v="0"/>
    <n v="25020"/>
  </r>
  <r>
    <m/>
    <x v="0"/>
    <x v="0"/>
    <x v="1"/>
    <x v="0"/>
    <x v="2"/>
    <x v="7"/>
    <x v="58"/>
    <x v="1"/>
    <x v="1"/>
    <x v="0"/>
    <n v="25020"/>
  </r>
  <r>
    <m/>
    <x v="0"/>
    <x v="0"/>
    <x v="1"/>
    <x v="0"/>
    <x v="2"/>
    <x v="7"/>
    <x v="59"/>
    <x v="1"/>
    <x v="1"/>
    <x v="0"/>
    <n v="25020"/>
  </r>
  <r>
    <m/>
    <x v="0"/>
    <x v="0"/>
    <x v="1"/>
    <x v="0"/>
    <x v="2"/>
    <x v="7"/>
    <x v="60"/>
    <x v="1"/>
    <x v="1"/>
    <x v="0"/>
    <n v="25020"/>
  </r>
  <r>
    <m/>
    <x v="0"/>
    <x v="0"/>
    <x v="1"/>
    <x v="0"/>
    <x v="2"/>
    <x v="7"/>
    <x v="61"/>
    <x v="1"/>
    <x v="1"/>
    <x v="0"/>
    <n v="25020"/>
  </r>
  <r>
    <m/>
    <x v="0"/>
    <x v="0"/>
    <x v="1"/>
    <x v="0"/>
    <x v="2"/>
    <x v="7"/>
    <x v="62"/>
    <x v="1"/>
    <x v="1"/>
    <x v="0"/>
    <n v="25020"/>
  </r>
  <r>
    <m/>
    <x v="0"/>
    <x v="0"/>
    <x v="1"/>
    <x v="0"/>
    <x v="2"/>
    <x v="7"/>
    <x v="63"/>
    <x v="1"/>
    <x v="1"/>
    <x v="0"/>
    <n v="25020"/>
  </r>
  <r>
    <m/>
    <x v="0"/>
    <x v="0"/>
    <x v="1"/>
    <x v="0"/>
    <x v="2"/>
    <x v="7"/>
    <x v="64"/>
    <x v="1"/>
    <x v="1"/>
    <x v="0"/>
    <n v="25020"/>
  </r>
  <r>
    <m/>
    <x v="0"/>
    <x v="0"/>
    <x v="1"/>
    <x v="0"/>
    <x v="2"/>
    <x v="7"/>
    <x v="65"/>
    <x v="1"/>
    <x v="1"/>
    <x v="0"/>
    <n v="25020"/>
  </r>
  <r>
    <m/>
    <x v="0"/>
    <x v="0"/>
    <x v="1"/>
    <x v="0"/>
    <x v="2"/>
    <x v="7"/>
    <x v="66"/>
    <x v="1"/>
    <x v="1"/>
    <x v="0"/>
    <n v="25020"/>
  </r>
  <r>
    <m/>
    <x v="0"/>
    <x v="0"/>
    <x v="1"/>
    <x v="0"/>
    <x v="2"/>
    <x v="7"/>
    <x v="67"/>
    <x v="1"/>
    <x v="1"/>
    <x v="0"/>
    <n v="25020"/>
  </r>
  <r>
    <m/>
    <x v="0"/>
    <x v="0"/>
    <x v="1"/>
    <x v="0"/>
    <x v="2"/>
    <x v="7"/>
    <x v="68"/>
    <x v="1"/>
    <x v="1"/>
    <x v="0"/>
    <n v="25020"/>
  </r>
  <r>
    <m/>
    <x v="0"/>
    <x v="0"/>
    <x v="1"/>
    <x v="0"/>
    <x v="2"/>
    <x v="7"/>
    <x v="69"/>
    <x v="1"/>
    <x v="1"/>
    <x v="0"/>
    <n v="25020"/>
  </r>
  <r>
    <m/>
    <x v="0"/>
    <x v="0"/>
    <x v="1"/>
    <x v="0"/>
    <x v="2"/>
    <x v="7"/>
    <x v="70"/>
    <x v="1"/>
    <x v="1"/>
    <x v="0"/>
    <n v="25020"/>
  </r>
  <r>
    <m/>
    <x v="0"/>
    <x v="0"/>
    <x v="1"/>
    <x v="0"/>
    <x v="2"/>
    <x v="7"/>
    <x v="71"/>
    <x v="1"/>
    <x v="1"/>
    <x v="0"/>
    <n v="25020"/>
  </r>
  <r>
    <m/>
    <x v="0"/>
    <x v="0"/>
    <x v="0"/>
    <x v="2"/>
    <x v="0"/>
    <x v="6"/>
    <x v="56"/>
    <x v="0"/>
    <x v="0"/>
    <x v="0"/>
    <n v="25190"/>
  </r>
  <r>
    <m/>
    <x v="0"/>
    <x v="0"/>
    <x v="0"/>
    <x v="2"/>
    <x v="0"/>
    <x v="6"/>
    <x v="57"/>
    <x v="0"/>
    <x v="0"/>
    <x v="0"/>
    <n v="25190"/>
  </r>
  <r>
    <m/>
    <x v="0"/>
    <x v="0"/>
    <x v="0"/>
    <x v="2"/>
    <x v="0"/>
    <x v="6"/>
    <x v="58"/>
    <x v="0"/>
    <x v="0"/>
    <x v="0"/>
    <n v="25190"/>
  </r>
  <r>
    <m/>
    <x v="0"/>
    <x v="0"/>
    <x v="0"/>
    <x v="2"/>
    <x v="0"/>
    <x v="6"/>
    <x v="59"/>
    <x v="0"/>
    <x v="0"/>
    <x v="0"/>
    <n v="25190"/>
  </r>
  <r>
    <m/>
    <x v="0"/>
    <x v="0"/>
    <x v="0"/>
    <x v="2"/>
    <x v="0"/>
    <x v="6"/>
    <x v="60"/>
    <x v="0"/>
    <x v="0"/>
    <x v="0"/>
    <n v="25190"/>
  </r>
  <r>
    <m/>
    <x v="0"/>
    <x v="0"/>
    <x v="0"/>
    <x v="2"/>
    <x v="0"/>
    <x v="6"/>
    <x v="61"/>
    <x v="0"/>
    <x v="0"/>
    <x v="0"/>
    <n v="25190"/>
  </r>
  <r>
    <m/>
    <x v="0"/>
    <x v="0"/>
    <x v="0"/>
    <x v="2"/>
    <x v="0"/>
    <x v="6"/>
    <x v="62"/>
    <x v="0"/>
    <x v="0"/>
    <x v="0"/>
    <n v="25190"/>
  </r>
  <r>
    <m/>
    <x v="0"/>
    <x v="0"/>
    <x v="0"/>
    <x v="2"/>
    <x v="0"/>
    <x v="6"/>
    <x v="63"/>
    <x v="0"/>
    <x v="0"/>
    <x v="0"/>
    <n v="25190"/>
  </r>
  <r>
    <m/>
    <x v="0"/>
    <x v="0"/>
    <x v="0"/>
    <x v="2"/>
    <x v="0"/>
    <x v="6"/>
    <x v="64"/>
    <x v="0"/>
    <x v="0"/>
    <x v="0"/>
    <n v="25190"/>
  </r>
  <r>
    <m/>
    <x v="0"/>
    <x v="0"/>
    <x v="0"/>
    <x v="2"/>
    <x v="0"/>
    <x v="6"/>
    <x v="65"/>
    <x v="0"/>
    <x v="0"/>
    <x v="0"/>
    <n v="25190"/>
  </r>
  <r>
    <m/>
    <x v="0"/>
    <x v="0"/>
    <x v="0"/>
    <x v="2"/>
    <x v="0"/>
    <x v="6"/>
    <x v="67"/>
    <x v="0"/>
    <x v="0"/>
    <x v="0"/>
    <n v="25190"/>
  </r>
  <r>
    <m/>
    <x v="0"/>
    <x v="0"/>
    <x v="0"/>
    <x v="2"/>
    <x v="0"/>
    <x v="6"/>
    <x v="68"/>
    <x v="0"/>
    <x v="0"/>
    <x v="0"/>
    <n v="25190"/>
  </r>
  <r>
    <m/>
    <x v="0"/>
    <x v="0"/>
    <x v="0"/>
    <x v="2"/>
    <x v="0"/>
    <x v="6"/>
    <x v="69"/>
    <x v="0"/>
    <x v="0"/>
    <x v="0"/>
    <n v="25190"/>
  </r>
  <r>
    <m/>
    <x v="0"/>
    <x v="0"/>
    <x v="0"/>
    <x v="2"/>
    <x v="0"/>
    <x v="6"/>
    <x v="70"/>
    <x v="0"/>
    <x v="0"/>
    <x v="0"/>
    <n v="25190"/>
  </r>
  <r>
    <m/>
    <x v="0"/>
    <x v="0"/>
    <x v="0"/>
    <x v="2"/>
    <x v="0"/>
    <x v="6"/>
    <x v="71"/>
    <x v="0"/>
    <x v="0"/>
    <x v="0"/>
    <n v="25190"/>
  </r>
  <r>
    <m/>
    <x v="0"/>
    <x v="0"/>
    <x v="0"/>
    <x v="2"/>
    <x v="0"/>
    <x v="6"/>
    <x v="72"/>
    <x v="0"/>
    <x v="0"/>
    <x v="0"/>
    <n v="25190"/>
  </r>
  <r>
    <m/>
    <x v="0"/>
    <x v="0"/>
    <x v="1"/>
    <x v="0"/>
    <x v="2"/>
    <x v="7"/>
    <x v="72"/>
    <x v="1"/>
    <x v="1"/>
    <x v="0"/>
    <n v="25020"/>
  </r>
  <r>
    <m/>
    <x v="0"/>
    <x v="0"/>
    <x v="0"/>
    <x v="2"/>
    <x v="0"/>
    <x v="0"/>
    <x v="0"/>
    <x v="0"/>
    <x v="0"/>
    <x v="0"/>
    <n v="28760"/>
  </r>
  <r>
    <m/>
    <x v="0"/>
    <x v="0"/>
    <x v="1"/>
    <x v="0"/>
    <x v="0"/>
    <x v="6"/>
    <x v="56"/>
    <x v="1"/>
    <x v="0"/>
    <x v="0"/>
    <n v="21880"/>
  </r>
  <r>
    <m/>
    <x v="0"/>
    <x v="1"/>
    <x v="0"/>
    <x v="0"/>
    <x v="2"/>
    <x v="5"/>
    <x v="51"/>
    <x v="0"/>
    <x v="3"/>
    <x v="0"/>
    <n v="38870"/>
  </r>
  <r>
    <m/>
    <x v="0"/>
    <x v="1"/>
    <x v="0"/>
    <x v="2"/>
    <x v="0"/>
    <x v="3"/>
    <x v="45"/>
    <x v="0"/>
    <x v="2"/>
    <x v="0"/>
    <n v="35110"/>
  </r>
  <r>
    <m/>
    <x v="0"/>
    <x v="1"/>
    <x v="1"/>
    <x v="0"/>
    <x v="2"/>
    <x v="4"/>
    <x v="42"/>
    <x v="1"/>
    <x v="3"/>
    <x v="0"/>
    <n v="32560"/>
  </r>
  <r>
    <m/>
    <x v="0"/>
    <x v="1"/>
    <x v="1"/>
    <x v="2"/>
    <x v="0"/>
    <x v="3"/>
    <x v="53"/>
    <x v="1"/>
    <x v="2"/>
    <x v="0"/>
    <n v="33320"/>
  </r>
  <r>
    <s v="CSKU00135_2EK"/>
    <x v="0"/>
    <x v="0"/>
    <x v="0"/>
    <x v="5"/>
    <x v="1"/>
    <x v="2"/>
    <x v="35"/>
    <x v="0"/>
    <x v="5"/>
    <x v="0"/>
    <n v="24340"/>
  </r>
  <r>
    <s v="CSKU00686_2EK"/>
    <x v="0"/>
    <x v="0"/>
    <x v="1"/>
    <x v="5"/>
    <x v="1"/>
    <x v="1"/>
    <x v="31"/>
    <x v="1"/>
    <x v="4"/>
    <x v="0"/>
    <n v="25020"/>
  </r>
  <r>
    <s v="CSKU01570_2EK"/>
    <x v="0"/>
    <x v="0"/>
    <x v="0"/>
    <x v="6"/>
    <x v="1"/>
    <x v="1"/>
    <x v="29"/>
    <x v="0"/>
    <x v="4"/>
    <x v="0"/>
    <n v="23870"/>
  </r>
  <r>
    <s v="CSKU01938_2EK"/>
    <x v="0"/>
    <x v="0"/>
    <x v="1"/>
    <x v="4"/>
    <x v="1"/>
    <x v="1"/>
    <x v="23"/>
    <x v="1"/>
    <x v="4"/>
    <x v="0"/>
    <n v="19840"/>
  </r>
  <r>
    <s v="CSKU03018_3EK"/>
    <x v="0"/>
    <x v="1"/>
    <x v="1"/>
    <x v="1"/>
    <x v="1"/>
    <x v="2"/>
    <x v="21"/>
    <x v="1"/>
    <x v="7"/>
    <x v="0"/>
    <n v="30600"/>
  </r>
  <r>
    <s v="CSKU04636_3EK"/>
    <x v="0"/>
    <x v="1"/>
    <x v="0"/>
    <x v="2"/>
    <x v="3"/>
    <x v="2"/>
    <x v="18"/>
    <x v="0"/>
    <x v="7"/>
    <x v="0"/>
    <n v="46040"/>
  </r>
  <r>
    <s v="CSKU78630_2LK"/>
    <x v="0"/>
    <x v="0"/>
    <x v="1"/>
    <x v="7"/>
    <x v="4"/>
    <x v="1"/>
    <x v="75"/>
    <x v="1"/>
    <x v="8"/>
    <x v="0"/>
    <n v="9660"/>
  </r>
  <r>
    <s v="CSKU78631_2LK"/>
    <x v="0"/>
    <x v="0"/>
    <x v="1"/>
    <x v="7"/>
    <x v="4"/>
    <x v="1"/>
    <x v="75"/>
    <x v="1"/>
    <x v="9"/>
    <x v="0"/>
    <n v="11110"/>
  </r>
  <r>
    <s v="CSKU75419_2EK"/>
    <x v="0"/>
    <x v="0"/>
    <x v="0"/>
    <x v="1"/>
    <x v="1"/>
    <x v="1"/>
    <x v="76"/>
    <x v="0"/>
    <x v="6"/>
    <x v="0"/>
    <n v="24100"/>
  </r>
  <r>
    <s v="CSKU75420_2EK"/>
    <x v="0"/>
    <x v="0"/>
    <x v="0"/>
    <x v="1"/>
    <x v="1"/>
    <x v="2"/>
    <x v="76"/>
    <x v="0"/>
    <x v="7"/>
    <x v="0"/>
    <n v="27300"/>
  </r>
  <r>
    <s v="CSKU75421_2EK"/>
    <x v="0"/>
    <x v="0"/>
    <x v="0"/>
    <x v="1"/>
    <x v="3"/>
    <x v="1"/>
    <x v="76"/>
    <x v="0"/>
    <x v="6"/>
    <x v="0"/>
    <n v="25450"/>
  </r>
  <r>
    <s v="CSKU75422_2EK"/>
    <x v="0"/>
    <x v="0"/>
    <x v="0"/>
    <x v="1"/>
    <x v="3"/>
    <x v="2"/>
    <x v="76"/>
    <x v="0"/>
    <x v="7"/>
    <x v="0"/>
    <n v="29660"/>
  </r>
  <r>
    <s v="CSKU75423_2EK"/>
    <x v="0"/>
    <x v="0"/>
    <x v="1"/>
    <x v="1"/>
    <x v="1"/>
    <x v="1"/>
    <x v="76"/>
    <x v="1"/>
    <x v="6"/>
    <x v="0"/>
    <n v="22150"/>
  </r>
  <r>
    <s v="CSKU75424_2EK"/>
    <x v="0"/>
    <x v="0"/>
    <x v="1"/>
    <x v="1"/>
    <x v="1"/>
    <x v="2"/>
    <x v="76"/>
    <x v="1"/>
    <x v="7"/>
    <x v="0"/>
    <n v="25020"/>
  </r>
  <r>
    <s v="CSKU75425_2EK"/>
    <x v="0"/>
    <x v="0"/>
    <x v="1"/>
    <x v="1"/>
    <x v="3"/>
    <x v="1"/>
    <x v="76"/>
    <x v="1"/>
    <x v="6"/>
    <x v="0"/>
    <n v="23430"/>
  </r>
  <r>
    <s v="CSKU75426_2EK"/>
    <x v="0"/>
    <x v="0"/>
    <x v="1"/>
    <x v="1"/>
    <x v="3"/>
    <x v="2"/>
    <x v="76"/>
    <x v="1"/>
    <x v="7"/>
    <x v="0"/>
    <n v="27200"/>
  </r>
  <r>
    <s v="CSKU75391_2EKSH"/>
    <x v="0"/>
    <x v="0"/>
    <x v="1"/>
    <x v="4"/>
    <x v="1"/>
    <x v="2"/>
    <x v="77"/>
    <x v="1"/>
    <x v="5"/>
    <x v="0"/>
    <n v="17040"/>
  </r>
  <r>
    <s v="CSKU75411_2EKSH"/>
    <x v="0"/>
    <x v="0"/>
    <x v="1"/>
    <x v="4"/>
    <x v="1"/>
    <x v="2"/>
    <x v="78"/>
    <x v="1"/>
    <x v="5"/>
    <x v="0"/>
    <n v="8880"/>
  </r>
  <r>
    <s v="CSKU75479_2EK"/>
    <x v="0"/>
    <x v="0"/>
    <x v="0"/>
    <x v="1"/>
    <x v="1"/>
    <x v="1"/>
    <x v="79"/>
    <x v="0"/>
    <x v="6"/>
    <x v="0"/>
    <n v="23760"/>
  </r>
  <r>
    <s v="CSKU75480_2EK"/>
    <x v="0"/>
    <x v="0"/>
    <x v="0"/>
    <x v="1"/>
    <x v="1"/>
    <x v="2"/>
    <x v="79"/>
    <x v="0"/>
    <x v="7"/>
    <x v="0"/>
    <n v="26960"/>
  </r>
  <r>
    <s v="CSKU75481_2EK"/>
    <x v="0"/>
    <x v="0"/>
    <x v="0"/>
    <x v="1"/>
    <x v="3"/>
    <x v="1"/>
    <x v="79"/>
    <x v="0"/>
    <x v="6"/>
    <x v="0"/>
    <n v="25160"/>
  </r>
  <r>
    <s v="CSKU75482_2EK"/>
    <x v="0"/>
    <x v="0"/>
    <x v="0"/>
    <x v="1"/>
    <x v="3"/>
    <x v="2"/>
    <x v="79"/>
    <x v="0"/>
    <x v="7"/>
    <x v="0"/>
    <n v="29370"/>
  </r>
  <r>
    <s v="CSKU75483_2EK"/>
    <x v="0"/>
    <x v="0"/>
    <x v="1"/>
    <x v="1"/>
    <x v="1"/>
    <x v="1"/>
    <x v="79"/>
    <x v="1"/>
    <x v="6"/>
    <x v="0"/>
    <n v="21180"/>
  </r>
  <r>
    <s v="CSKU75484_2EK"/>
    <x v="0"/>
    <x v="0"/>
    <x v="1"/>
    <x v="1"/>
    <x v="1"/>
    <x v="2"/>
    <x v="79"/>
    <x v="1"/>
    <x v="7"/>
    <x v="0"/>
    <n v="24050"/>
  </r>
  <r>
    <s v="CSKU75485_2EK"/>
    <x v="0"/>
    <x v="0"/>
    <x v="1"/>
    <x v="1"/>
    <x v="3"/>
    <x v="1"/>
    <x v="79"/>
    <x v="1"/>
    <x v="6"/>
    <x v="0"/>
    <n v="22470"/>
  </r>
  <r>
    <s v="CSKU75453_2EK"/>
    <x v="0"/>
    <x v="0"/>
    <x v="1"/>
    <x v="1"/>
    <x v="1"/>
    <x v="1"/>
    <x v="80"/>
    <x v="1"/>
    <x v="6"/>
    <x v="0"/>
    <n v="23120"/>
  </r>
  <r>
    <s v="CSKU75454_2EK"/>
    <x v="0"/>
    <x v="0"/>
    <x v="1"/>
    <x v="1"/>
    <x v="1"/>
    <x v="2"/>
    <x v="80"/>
    <x v="1"/>
    <x v="7"/>
    <x v="0"/>
    <n v="25990"/>
  </r>
  <r>
    <s v="CSKU75455_2EK"/>
    <x v="0"/>
    <x v="0"/>
    <x v="1"/>
    <x v="1"/>
    <x v="3"/>
    <x v="1"/>
    <x v="80"/>
    <x v="1"/>
    <x v="6"/>
    <x v="0"/>
    <n v="24390"/>
  </r>
  <r>
    <s v="CSKU75456_2EK"/>
    <x v="0"/>
    <x v="0"/>
    <x v="1"/>
    <x v="1"/>
    <x v="3"/>
    <x v="2"/>
    <x v="80"/>
    <x v="1"/>
    <x v="7"/>
    <x v="0"/>
    <n v="28160"/>
  </r>
  <r>
    <s v="CSKU75486_2EK"/>
    <x v="0"/>
    <x v="0"/>
    <x v="1"/>
    <x v="1"/>
    <x v="3"/>
    <x v="2"/>
    <x v="79"/>
    <x v="1"/>
    <x v="7"/>
    <x v="0"/>
    <n v="26240"/>
  </r>
  <r>
    <s v="CSKU19787_2EKSH"/>
    <x v="0"/>
    <x v="0"/>
    <x v="0"/>
    <x v="4"/>
    <x v="1"/>
    <x v="2"/>
    <x v="81"/>
    <x v="0"/>
    <x v="5"/>
    <x v="0"/>
    <n v="21260"/>
  </r>
  <r>
    <s v="CSKU19790_2EKSH"/>
    <x v="0"/>
    <x v="0"/>
    <x v="0"/>
    <x v="4"/>
    <x v="1"/>
    <x v="2"/>
    <x v="78"/>
    <x v="0"/>
    <x v="5"/>
    <x v="0"/>
    <n v="9940"/>
  </r>
  <r>
    <s v="CSKU75396_2EKSH"/>
    <x v="0"/>
    <x v="0"/>
    <x v="1"/>
    <x v="4"/>
    <x v="1"/>
    <x v="2"/>
    <x v="82"/>
    <x v="1"/>
    <x v="5"/>
    <x v="0"/>
    <n v="16140"/>
  </r>
  <r>
    <s v="CSKU75401_2EKSH"/>
    <x v="0"/>
    <x v="0"/>
    <x v="1"/>
    <x v="4"/>
    <x v="1"/>
    <x v="2"/>
    <x v="83"/>
    <x v="1"/>
    <x v="5"/>
    <x v="0"/>
    <n v="15240"/>
  </r>
  <r>
    <s v="CSKU75406_2EKSH"/>
    <x v="0"/>
    <x v="0"/>
    <x v="1"/>
    <x v="4"/>
    <x v="1"/>
    <x v="2"/>
    <x v="81"/>
    <x v="1"/>
    <x v="5"/>
    <x v="0"/>
    <n v="20200"/>
  </r>
  <r>
    <s v="CSKU75449_2EK"/>
    <x v="0"/>
    <x v="0"/>
    <x v="0"/>
    <x v="1"/>
    <x v="1"/>
    <x v="1"/>
    <x v="80"/>
    <x v="0"/>
    <x v="6"/>
    <x v="0"/>
    <n v="24440"/>
  </r>
  <r>
    <s v="CSKU75450_2EK"/>
    <x v="0"/>
    <x v="0"/>
    <x v="0"/>
    <x v="1"/>
    <x v="1"/>
    <x v="2"/>
    <x v="80"/>
    <x v="0"/>
    <x v="7"/>
    <x v="0"/>
    <n v="27640"/>
  </r>
  <r>
    <s v="CSKU75451_2EK"/>
    <x v="0"/>
    <x v="0"/>
    <x v="0"/>
    <x v="1"/>
    <x v="3"/>
    <x v="1"/>
    <x v="80"/>
    <x v="0"/>
    <x v="6"/>
    <x v="0"/>
    <n v="25740"/>
  </r>
  <r>
    <s v="CSKU75452_2EK"/>
    <x v="0"/>
    <x v="0"/>
    <x v="0"/>
    <x v="1"/>
    <x v="3"/>
    <x v="2"/>
    <x v="80"/>
    <x v="0"/>
    <x v="7"/>
    <x v="0"/>
    <n v="29950"/>
  </r>
  <r>
    <s v="CSKU19778_2EKSH"/>
    <x v="0"/>
    <x v="0"/>
    <x v="0"/>
    <x v="4"/>
    <x v="1"/>
    <x v="2"/>
    <x v="77"/>
    <x v="0"/>
    <x v="5"/>
    <x v="0"/>
    <n v="18100"/>
  </r>
  <r>
    <s v="CSKU19781_2EKSH"/>
    <x v="0"/>
    <x v="0"/>
    <x v="0"/>
    <x v="4"/>
    <x v="1"/>
    <x v="2"/>
    <x v="82"/>
    <x v="0"/>
    <x v="5"/>
    <x v="0"/>
    <n v="17580"/>
  </r>
  <r>
    <s v="CSKU19784_2EKSH"/>
    <x v="0"/>
    <x v="0"/>
    <x v="0"/>
    <x v="4"/>
    <x v="1"/>
    <x v="2"/>
    <x v="83"/>
    <x v="0"/>
    <x v="5"/>
    <x v="0"/>
    <n v="17060"/>
  </r>
  <r>
    <s v="CSKU04535_3EK"/>
    <x v="0"/>
    <x v="1"/>
    <x v="0"/>
    <x v="1"/>
    <x v="1"/>
    <x v="1"/>
    <x v="84"/>
    <x v="0"/>
    <x v="6"/>
    <x v="0"/>
    <n v="29050"/>
  </r>
  <r>
    <s v="CSKU04536_3EK"/>
    <x v="0"/>
    <x v="1"/>
    <x v="0"/>
    <x v="1"/>
    <x v="1"/>
    <x v="2"/>
    <x v="84"/>
    <x v="0"/>
    <x v="7"/>
    <x v="0"/>
    <n v="32250"/>
  </r>
  <r>
    <s v="CSKU04537_3EK"/>
    <x v="0"/>
    <x v="1"/>
    <x v="0"/>
    <x v="1"/>
    <x v="3"/>
    <x v="1"/>
    <x v="84"/>
    <x v="0"/>
    <x v="6"/>
    <x v="0"/>
    <n v="30900"/>
  </r>
  <r>
    <s v="CSKU04538_3EK"/>
    <x v="0"/>
    <x v="1"/>
    <x v="0"/>
    <x v="1"/>
    <x v="3"/>
    <x v="2"/>
    <x v="84"/>
    <x v="0"/>
    <x v="7"/>
    <x v="0"/>
    <n v="35110"/>
  </r>
  <r>
    <s v="CSKU04539_3EK"/>
    <x v="0"/>
    <x v="1"/>
    <x v="0"/>
    <x v="3"/>
    <x v="1"/>
    <x v="1"/>
    <x v="84"/>
    <x v="0"/>
    <x v="6"/>
    <x v="0"/>
    <n v="33950"/>
  </r>
  <r>
    <s v="CSKU04540_3EK"/>
    <x v="0"/>
    <x v="1"/>
    <x v="0"/>
    <x v="3"/>
    <x v="1"/>
    <x v="2"/>
    <x v="84"/>
    <x v="0"/>
    <x v="7"/>
    <x v="0"/>
    <n v="37160"/>
  </r>
  <r>
    <s v="CSKU04541_3EK"/>
    <x v="0"/>
    <x v="1"/>
    <x v="0"/>
    <x v="3"/>
    <x v="3"/>
    <x v="1"/>
    <x v="84"/>
    <x v="0"/>
    <x v="6"/>
    <x v="0"/>
    <n v="36160"/>
  </r>
  <r>
    <s v="CSKU04265_3EK"/>
    <x v="0"/>
    <x v="1"/>
    <x v="0"/>
    <x v="1"/>
    <x v="1"/>
    <x v="1"/>
    <x v="85"/>
    <x v="0"/>
    <x v="6"/>
    <x v="0"/>
    <n v="29050"/>
  </r>
  <r>
    <s v="CSKU04266_3EK"/>
    <x v="0"/>
    <x v="1"/>
    <x v="0"/>
    <x v="1"/>
    <x v="1"/>
    <x v="2"/>
    <x v="85"/>
    <x v="0"/>
    <x v="7"/>
    <x v="0"/>
    <n v="32250"/>
  </r>
  <r>
    <s v="CSKU04267_3EK"/>
    <x v="0"/>
    <x v="1"/>
    <x v="0"/>
    <x v="1"/>
    <x v="3"/>
    <x v="1"/>
    <x v="85"/>
    <x v="0"/>
    <x v="6"/>
    <x v="0"/>
    <n v="30900"/>
  </r>
  <r>
    <s v="CSKU04268_3EK"/>
    <x v="0"/>
    <x v="1"/>
    <x v="0"/>
    <x v="1"/>
    <x v="3"/>
    <x v="2"/>
    <x v="85"/>
    <x v="0"/>
    <x v="7"/>
    <x v="0"/>
    <n v="35110"/>
  </r>
  <r>
    <s v="CSKU04269_3EK"/>
    <x v="0"/>
    <x v="1"/>
    <x v="0"/>
    <x v="3"/>
    <x v="1"/>
    <x v="1"/>
    <x v="85"/>
    <x v="0"/>
    <x v="6"/>
    <x v="0"/>
    <n v="33950"/>
  </r>
  <r>
    <s v="CSKU04270_3EK"/>
    <x v="0"/>
    <x v="1"/>
    <x v="0"/>
    <x v="3"/>
    <x v="1"/>
    <x v="2"/>
    <x v="85"/>
    <x v="0"/>
    <x v="7"/>
    <x v="0"/>
    <n v="37160"/>
  </r>
  <r>
    <s v="CSKU04271_3EK"/>
    <x v="0"/>
    <x v="1"/>
    <x v="0"/>
    <x v="3"/>
    <x v="3"/>
    <x v="1"/>
    <x v="85"/>
    <x v="0"/>
    <x v="6"/>
    <x v="0"/>
    <n v="36160"/>
  </r>
  <r>
    <s v="CSKU04272_3EK"/>
    <x v="0"/>
    <x v="1"/>
    <x v="0"/>
    <x v="3"/>
    <x v="3"/>
    <x v="2"/>
    <x v="85"/>
    <x v="0"/>
    <x v="7"/>
    <x v="0"/>
    <n v="40630"/>
  </r>
  <r>
    <s v="CSKU04273_3EK"/>
    <x v="0"/>
    <x v="1"/>
    <x v="0"/>
    <x v="2"/>
    <x v="1"/>
    <x v="1"/>
    <x v="85"/>
    <x v="0"/>
    <x v="6"/>
    <x v="0"/>
    <n v="38870"/>
  </r>
  <r>
    <s v="CSKU04274_3EK"/>
    <x v="0"/>
    <x v="1"/>
    <x v="0"/>
    <x v="2"/>
    <x v="1"/>
    <x v="2"/>
    <x v="85"/>
    <x v="0"/>
    <x v="7"/>
    <x v="0"/>
    <n v="42250"/>
  </r>
  <r>
    <s v="CSKU04275_3EK"/>
    <x v="0"/>
    <x v="1"/>
    <x v="0"/>
    <x v="2"/>
    <x v="3"/>
    <x v="1"/>
    <x v="85"/>
    <x v="0"/>
    <x v="6"/>
    <x v="0"/>
    <n v="41400"/>
  </r>
  <r>
    <s v="CSKU04276_3EK"/>
    <x v="0"/>
    <x v="1"/>
    <x v="0"/>
    <x v="2"/>
    <x v="3"/>
    <x v="2"/>
    <x v="85"/>
    <x v="0"/>
    <x v="7"/>
    <x v="0"/>
    <n v="46040"/>
  </r>
  <r>
    <s v="CSKU04637_3EK"/>
    <x v="0"/>
    <x v="1"/>
    <x v="1"/>
    <x v="1"/>
    <x v="1"/>
    <x v="1"/>
    <x v="18"/>
    <x v="1"/>
    <x v="6"/>
    <x v="0"/>
    <n v="27730"/>
  </r>
  <r>
    <s v="CSKU04638_3EK"/>
    <x v="0"/>
    <x v="1"/>
    <x v="1"/>
    <x v="1"/>
    <x v="1"/>
    <x v="2"/>
    <x v="18"/>
    <x v="1"/>
    <x v="7"/>
    <x v="0"/>
    <n v="30600"/>
  </r>
  <r>
    <s v="CSKU04639_3EK"/>
    <x v="0"/>
    <x v="1"/>
    <x v="1"/>
    <x v="1"/>
    <x v="3"/>
    <x v="1"/>
    <x v="18"/>
    <x v="1"/>
    <x v="6"/>
    <x v="0"/>
    <n v="29550"/>
  </r>
  <r>
    <s v="CSKU04640_3EK"/>
    <x v="0"/>
    <x v="1"/>
    <x v="1"/>
    <x v="1"/>
    <x v="3"/>
    <x v="2"/>
    <x v="18"/>
    <x v="1"/>
    <x v="7"/>
    <x v="0"/>
    <n v="33320"/>
  </r>
  <r>
    <s v="CSKU04641_3EK"/>
    <x v="0"/>
    <x v="1"/>
    <x v="1"/>
    <x v="3"/>
    <x v="1"/>
    <x v="1"/>
    <x v="18"/>
    <x v="1"/>
    <x v="6"/>
    <x v="0"/>
    <n v="32560"/>
  </r>
  <r>
    <s v="CSKU04642_3EK"/>
    <x v="0"/>
    <x v="1"/>
    <x v="1"/>
    <x v="3"/>
    <x v="1"/>
    <x v="2"/>
    <x v="18"/>
    <x v="1"/>
    <x v="7"/>
    <x v="0"/>
    <n v="35430"/>
  </r>
  <r>
    <s v="CSKU04643_3EK"/>
    <x v="0"/>
    <x v="1"/>
    <x v="1"/>
    <x v="3"/>
    <x v="3"/>
    <x v="1"/>
    <x v="18"/>
    <x v="1"/>
    <x v="6"/>
    <x v="0"/>
    <n v="34740"/>
  </r>
  <r>
    <s v="CSKU04644_3EK"/>
    <x v="0"/>
    <x v="1"/>
    <x v="1"/>
    <x v="3"/>
    <x v="3"/>
    <x v="2"/>
    <x v="18"/>
    <x v="1"/>
    <x v="7"/>
    <x v="0"/>
    <n v="38730"/>
  </r>
  <r>
    <s v="CSKU04645_3EK"/>
    <x v="0"/>
    <x v="1"/>
    <x v="1"/>
    <x v="2"/>
    <x v="1"/>
    <x v="1"/>
    <x v="18"/>
    <x v="1"/>
    <x v="6"/>
    <x v="0"/>
    <n v="37390"/>
  </r>
  <r>
    <s v="CSKU04646_3EK"/>
    <x v="0"/>
    <x v="1"/>
    <x v="1"/>
    <x v="2"/>
    <x v="1"/>
    <x v="2"/>
    <x v="18"/>
    <x v="1"/>
    <x v="7"/>
    <x v="0"/>
    <n v="40400"/>
  </r>
  <r>
    <s v="CSKU03019_3EK"/>
    <x v="0"/>
    <x v="1"/>
    <x v="1"/>
    <x v="1"/>
    <x v="3"/>
    <x v="1"/>
    <x v="21"/>
    <x v="1"/>
    <x v="6"/>
    <x v="0"/>
    <n v="29550"/>
  </r>
  <r>
    <s v="CSKU03020_3EK"/>
    <x v="0"/>
    <x v="1"/>
    <x v="1"/>
    <x v="1"/>
    <x v="3"/>
    <x v="2"/>
    <x v="21"/>
    <x v="1"/>
    <x v="7"/>
    <x v="0"/>
    <n v="33320"/>
  </r>
  <r>
    <s v="CSKU03021_3EK"/>
    <x v="0"/>
    <x v="1"/>
    <x v="1"/>
    <x v="3"/>
    <x v="1"/>
    <x v="1"/>
    <x v="21"/>
    <x v="1"/>
    <x v="6"/>
    <x v="0"/>
    <n v="32560"/>
  </r>
  <r>
    <s v="CSKU03022_3EK"/>
    <x v="0"/>
    <x v="1"/>
    <x v="1"/>
    <x v="3"/>
    <x v="1"/>
    <x v="2"/>
    <x v="21"/>
    <x v="1"/>
    <x v="7"/>
    <x v="0"/>
    <n v="35430"/>
  </r>
  <r>
    <s v="CSKU03023_3EK"/>
    <x v="0"/>
    <x v="1"/>
    <x v="1"/>
    <x v="3"/>
    <x v="3"/>
    <x v="1"/>
    <x v="21"/>
    <x v="1"/>
    <x v="6"/>
    <x v="0"/>
    <n v="34740"/>
  </r>
  <r>
    <s v="CSKU03024_3EK"/>
    <x v="0"/>
    <x v="1"/>
    <x v="1"/>
    <x v="3"/>
    <x v="3"/>
    <x v="2"/>
    <x v="21"/>
    <x v="1"/>
    <x v="7"/>
    <x v="0"/>
    <n v="38730"/>
  </r>
  <r>
    <s v="CSKU03025_3EK"/>
    <x v="0"/>
    <x v="1"/>
    <x v="1"/>
    <x v="2"/>
    <x v="1"/>
    <x v="1"/>
    <x v="21"/>
    <x v="1"/>
    <x v="6"/>
    <x v="0"/>
    <n v="37390"/>
  </r>
  <r>
    <s v="CSKU03026_3EK"/>
    <x v="0"/>
    <x v="1"/>
    <x v="1"/>
    <x v="2"/>
    <x v="1"/>
    <x v="2"/>
    <x v="21"/>
    <x v="1"/>
    <x v="7"/>
    <x v="0"/>
    <n v="40400"/>
  </r>
  <r>
    <s v="CSKU03027_3EK"/>
    <x v="0"/>
    <x v="1"/>
    <x v="1"/>
    <x v="2"/>
    <x v="3"/>
    <x v="1"/>
    <x v="21"/>
    <x v="1"/>
    <x v="6"/>
    <x v="0"/>
    <n v="39890"/>
  </r>
  <r>
    <s v="CSKU03028_3EK"/>
    <x v="0"/>
    <x v="1"/>
    <x v="1"/>
    <x v="2"/>
    <x v="3"/>
    <x v="2"/>
    <x v="21"/>
    <x v="1"/>
    <x v="7"/>
    <x v="0"/>
    <n v="44020"/>
  </r>
  <r>
    <s v="CSKU03635_3EK"/>
    <x v="0"/>
    <x v="1"/>
    <x v="0"/>
    <x v="1"/>
    <x v="1"/>
    <x v="1"/>
    <x v="86"/>
    <x v="0"/>
    <x v="6"/>
    <x v="0"/>
    <n v="29050"/>
  </r>
  <r>
    <s v="CSKU03636_3EK"/>
    <x v="0"/>
    <x v="1"/>
    <x v="0"/>
    <x v="1"/>
    <x v="1"/>
    <x v="2"/>
    <x v="86"/>
    <x v="0"/>
    <x v="7"/>
    <x v="0"/>
    <n v="32250"/>
  </r>
  <r>
    <s v="CSKU00936_2EK"/>
    <x v="0"/>
    <x v="0"/>
    <x v="0"/>
    <x v="4"/>
    <x v="1"/>
    <x v="1"/>
    <x v="87"/>
    <x v="0"/>
    <x v="4"/>
    <x v="0"/>
    <n v="20860"/>
  </r>
  <r>
    <s v="CSKU00937_2EK"/>
    <x v="0"/>
    <x v="0"/>
    <x v="0"/>
    <x v="4"/>
    <x v="1"/>
    <x v="2"/>
    <x v="87"/>
    <x v="0"/>
    <x v="5"/>
    <x v="0"/>
    <n v="23140"/>
  </r>
  <r>
    <s v="CSKU00938_2EK"/>
    <x v="0"/>
    <x v="0"/>
    <x v="0"/>
    <x v="4"/>
    <x v="3"/>
    <x v="1"/>
    <x v="87"/>
    <x v="0"/>
    <x v="4"/>
    <x v="0"/>
    <n v="22570"/>
  </r>
  <r>
    <s v="CSKU00939_2EK"/>
    <x v="0"/>
    <x v="0"/>
    <x v="0"/>
    <x v="4"/>
    <x v="3"/>
    <x v="2"/>
    <x v="87"/>
    <x v="0"/>
    <x v="5"/>
    <x v="0"/>
    <n v="25190"/>
  </r>
  <r>
    <s v="CSKU00940_2EK"/>
    <x v="0"/>
    <x v="0"/>
    <x v="0"/>
    <x v="6"/>
    <x v="1"/>
    <x v="1"/>
    <x v="87"/>
    <x v="0"/>
    <x v="4"/>
    <x v="0"/>
    <n v="23870"/>
  </r>
  <r>
    <s v="CSKU00941_2EK"/>
    <x v="0"/>
    <x v="0"/>
    <x v="0"/>
    <x v="6"/>
    <x v="1"/>
    <x v="2"/>
    <x v="87"/>
    <x v="0"/>
    <x v="5"/>
    <x v="0"/>
    <n v="26390"/>
  </r>
  <r>
    <s v="CSKU00942_2EK"/>
    <x v="0"/>
    <x v="0"/>
    <x v="0"/>
    <x v="6"/>
    <x v="3"/>
    <x v="1"/>
    <x v="87"/>
    <x v="0"/>
    <x v="4"/>
    <x v="0"/>
    <n v="25300"/>
  </r>
  <r>
    <s v="CSKU03995_3EK"/>
    <x v="0"/>
    <x v="1"/>
    <x v="0"/>
    <x v="1"/>
    <x v="1"/>
    <x v="1"/>
    <x v="88"/>
    <x v="0"/>
    <x v="6"/>
    <x v="0"/>
    <n v="29050"/>
  </r>
  <r>
    <s v="CSKU03996_3EK"/>
    <x v="0"/>
    <x v="1"/>
    <x v="0"/>
    <x v="1"/>
    <x v="1"/>
    <x v="2"/>
    <x v="88"/>
    <x v="0"/>
    <x v="7"/>
    <x v="0"/>
    <n v="32250"/>
  </r>
  <r>
    <s v="CSKU03997_3EK"/>
    <x v="0"/>
    <x v="1"/>
    <x v="0"/>
    <x v="1"/>
    <x v="3"/>
    <x v="1"/>
    <x v="88"/>
    <x v="0"/>
    <x v="6"/>
    <x v="0"/>
    <n v="30900"/>
  </r>
  <r>
    <s v="CSKU03998_3EK"/>
    <x v="0"/>
    <x v="1"/>
    <x v="0"/>
    <x v="1"/>
    <x v="3"/>
    <x v="2"/>
    <x v="88"/>
    <x v="0"/>
    <x v="7"/>
    <x v="0"/>
    <n v="35110"/>
  </r>
  <r>
    <s v="CSKU03999_3EK"/>
    <x v="0"/>
    <x v="1"/>
    <x v="0"/>
    <x v="3"/>
    <x v="1"/>
    <x v="1"/>
    <x v="88"/>
    <x v="0"/>
    <x v="6"/>
    <x v="0"/>
    <n v="33950"/>
  </r>
  <r>
    <s v="CSKU04000_3EK"/>
    <x v="0"/>
    <x v="1"/>
    <x v="0"/>
    <x v="3"/>
    <x v="1"/>
    <x v="2"/>
    <x v="88"/>
    <x v="0"/>
    <x v="7"/>
    <x v="0"/>
    <n v="37160"/>
  </r>
  <r>
    <s v="CSKU01836_2EK"/>
    <x v="0"/>
    <x v="0"/>
    <x v="0"/>
    <x v="4"/>
    <x v="1"/>
    <x v="1"/>
    <x v="89"/>
    <x v="0"/>
    <x v="4"/>
    <x v="0"/>
    <n v="20860"/>
  </r>
  <r>
    <s v="CSKU01296_2EK"/>
    <x v="0"/>
    <x v="0"/>
    <x v="0"/>
    <x v="4"/>
    <x v="1"/>
    <x v="1"/>
    <x v="90"/>
    <x v="0"/>
    <x v="4"/>
    <x v="0"/>
    <n v="20860"/>
  </r>
  <r>
    <s v="CSKU01297_2EK"/>
    <x v="0"/>
    <x v="0"/>
    <x v="0"/>
    <x v="4"/>
    <x v="1"/>
    <x v="2"/>
    <x v="90"/>
    <x v="0"/>
    <x v="5"/>
    <x v="0"/>
    <n v="23140"/>
  </r>
  <r>
    <s v="CSKU01298_2EK"/>
    <x v="0"/>
    <x v="0"/>
    <x v="0"/>
    <x v="4"/>
    <x v="3"/>
    <x v="1"/>
    <x v="90"/>
    <x v="0"/>
    <x v="4"/>
    <x v="0"/>
    <n v="22570"/>
  </r>
  <r>
    <s v="CSKU01299_2EK"/>
    <x v="0"/>
    <x v="0"/>
    <x v="0"/>
    <x v="4"/>
    <x v="3"/>
    <x v="2"/>
    <x v="90"/>
    <x v="0"/>
    <x v="5"/>
    <x v="0"/>
    <n v="25190"/>
  </r>
  <r>
    <s v="CSKU01300_2EK"/>
    <x v="0"/>
    <x v="0"/>
    <x v="0"/>
    <x v="6"/>
    <x v="1"/>
    <x v="1"/>
    <x v="90"/>
    <x v="0"/>
    <x v="4"/>
    <x v="0"/>
    <n v="23870"/>
  </r>
  <r>
    <s v="CSKU01301_2EK"/>
    <x v="0"/>
    <x v="0"/>
    <x v="0"/>
    <x v="6"/>
    <x v="1"/>
    <x v="2"/>
    <x v="90"/>
    <x v="0"/>
    <x v="5"/>
    <x v="0"/>
    <n v="26390"/>
  </r>
  <r>
    <s v="CSKU01302_2EK"/>
    <x v="0"/>
    <x v="0"/>
    <x v="0"/>
    <x v="6"/>
    <x v="3"/>
    <x v="1"/>
    <x v="90"/>
    <x v="0"/>
    <x v="4"/>
    <x v="0"/>
    <n v="25300"/>
  </r>
  <r>
    <s v="CSKU01571_2EK"/>
    <x v="0"/>
    <x v="0"/>
    <x v="0"/>
    <x v="6"/>
    <x v="1"/>
    <x v="2"/>
    <x v="29"/>
    <x v="0"/>
    <x v="5"/>
    <x v="0"/>
    <n v="26390"/>
  </r>
  <r>
    <s v="CSKU01572_2EK"/>
    <x v="0"/>
    <x v="0"/>
    <x v="0"/>
    <x v="6"/>
    <x v="3"/>
    <x v="1"/>
    <x v="29"/>
    <x v="0"/>
    <x v="4"/>
    <x v="0"/>
    <n v="25300"/>
  </r>
  <r>
    <s v="CSKU01573_2EK"/>
    <x v="0"/>
    <x v="0"/>
    <x v="0"/>
    <x v="6"/>
    <x v="3"/>
    <x v="2"/>
    <x v="29"/>
    <x v="0"/>
    <x v="5"/>
    <x v="0"/>
    <n v="28760"/>
  </r>
  <r>
    <s v="CSKU01574_2EK"/>
    <x v="0"/>
    <x v="0"/>
    <x v="0"/>
    <x v="5"/>
    <x v="1"/>
    <x v="1"/>
    <x v="29"/>
    <x v="0"/>
    <x v="4"/>
    <x v="0"/>
    <n v="26180"/>
  </r>
  <r>
    <s v="CSKU01575_2EK"/>
    <x v="0"/>
    <x v="0"/>
    <x v="0"/>
    <x v="5"/>
    <x v="1"/>
    <x v="2"/>
    <x v="29"/>
    <x v="0"/>
    <x v="5"/>
    <x v="0"/>
    <n v="28890"/>
  </r>
  <r>
    <s v="CSKU01576_2EK"/>
    <x v="0"/>
    <x v="0"/>
    <x v="0"/>
    <x v="5"/>
    <x v="3"/>
    <x v="1"/>
    <x v="29"/>
    <x v="0"/>
    <x v="4"/>
    <x v="0"/>
    <n v="27800"/>
  </r>
  <r>
    <s v="CSKU01577_2EK"/>
    <x v="0"/>
    <x v="0"/>
    <x v="0"/>
    <x v="5"/>
    <x v="3"/>
    <x v="2"/>
    <x v="29"/>
    <x v="0"/>
    <x v="5"/>
    <x v="0"/>
    <n v="31430"/>
  </r>
  <r>
    <s v="CSKU01578_2EK"/>
    <x v="0"/>
    <x v="0"/>
    <x v="1"/>
    <x v="4"/>
    <x v="1"/>
    <x v="1"/>
    <x v="29"/>
    <x v="1"/>
    <x v="4"/>
    <x v="0"/>
    <n v="19840"/>
  </r>
  <r>
    <s v="CSKU01579_2EK"/>
    <x v="0"/>
    <x v="0"/>
    <x v="1"/>
    <x v="4"/>
    <x v="1"/>
    <x v="2"/>
    <x v="29"/>
    <x v="1"/>
    <x v="5"/>
    <x v="0"/>
    <n v="21880"/>
  </r>
  <r>
    <s v="CSKU01580_2EK"/>
    <x v="0"/>
    <x v="0"/>
    <x v="1"/>
    <x v="4"/>
    <x v="3"/>
    <x v="1"/>
    <x v="29"/>
    <x v="1"/>
    <x v="4"/>
    <x v="0"/>
    <n v="21470"/>
  </r>
  <r>
    <s v="CSKU01581_2EK"/>
    <x v="0"/>
    <x v="0"/>
    <x v="1"/>
    <x v="4"/>
    <x v="3"/>
    <x v="2"/>
    <x v="29"/>
    <x v="1"/>
    <x v="5"/>
    <x v="0"/>
    <n v="23830"/>
  </r>
  <r>
    <s v="CSKU01582_2EK"/>
    <x v="0"/>
    <x v="0"/>
    <x v="1"/>
    <x v="6"/>
    <x v="1"/>
    <x v="1"/>
    <x v="29"/>
    <x v="1"/>
    <x v="4"/>
    <x v="0"/>
    <n v="22780"/>
  </r>
  <r>
    <s v="CSKU01939_2EK"/>
    <x v="0"/>
    <x v="0"/>
    <x v="1"/>
    <x v="4"/>
    <x v="1"/>
    <x v="2"/>
    <x v="23"/>
    <x v="1"/>
    <x v="5"/>
    <x v="0"/>
    <n v="21880"/>
  </r>
  <r>
    <s v="CSKU01940_2EK"/>
    <x v="0"/>
    <x v="0"/>
    <x v="1"/>
    <x v="4"/>
    <x v="3"/>
    <x v="1"/>
    <x v="23"/>
    <x v="1"/>
    <x v="4"/>
    <x v="0"/>
    <n v="21470"/>
  </r>
  <r>
    <s v="CSKU01941_2EK"/>
    <x v="0"/>
    <x v="0"/>
    <x v="1"/>
    <x v="4"/>
    <x v="3"/>
    <x v="2"/>
    <x v="23"/>
    <x v="1"/>
    <x v="5"/>
    <x v="0"/>
    <n v="23830"/>
  </r>
  <r>
    <s v="CSKU01942_2EK"/>
    <x v="0"/>
    <x v="0"/>
    <x v="1"/>
    <x v="6"/>
    <x v="1"/>
    <x v="1"/>
    <x v="23"/>
    <x v="1"/>
    <x v="4"/>
    <x v="0"/>
    <n v="22780"/>
  </r>
  <r>
    <s v="CSKU01943_2EK"/>
    <x v="0"/>
    <x v="0"/>
    <x v="1"/>
    <x v="6"/>
    <x v="1"/>
    <x v="2"/>
    <x v="23"/>
    <x v="1"/>
    <x v="5"/>
    <x v="0"/>
    <n v="25030"/>
  </r>
  <r>
    <s v="CSKU01944_2EK"/>
    <x v="0"/>
    <x v="0"/>
    <x v="1"/>
    <x v="6"/>
    <x v="3"/>
    <x v="1"/>
    <x v="23"/>
    <x v="1"/>
    <x v="4"/>
    <x v="0"/>
    <n v="24190"/>
  </r>
  <r>
    <s v="CSKU01945_2EK"/>
    <x v="0"/>
    <x v="0"/>
    <x v="1"/>
    <x v="6"/>
    <x v="3"/>
    <x v="2"/>
    <x v="23"/>
    <x v="1"/>
    <x v="5"/>
    <x v="0"/>
    <n v="27270"/>
  </r>
  <r>
    <s v="CSKU01946_2EK"/>
    <x v="0"/>
    <x v="0"/>
    <x v="1"/>
    <x v="5"/>
    <x v="1"/>
    <x v="1"/>
    <x v="23"/>
    <x v="1"/>
    <x v="4"/>
    <x v="0"/>
    <n v="25020"/>
  </r>
  <r>
    <s v="CSKU01947_2EK"/>
    <x v="0"/>
    <x v="0"/>
    <x v="1"/>
    <x v="5"/>
    <x v="1"/>
    <x v="2"/>
    <x v="23"/>
    <x v="1"/>
    <x v="5"/>
    <x v="0"/>
    <n v="27450"/>
  </r>
  <r>
    <s v="CSKU01948_2EK"/>
    <x v="0"/>
    <x v="0"/>
    <x v="1"/>
    <x v="5"/>
    <x v="3"/>
    <x v="1"/>
    <x v="23"/>
    <x v="1"/>
    <x v="4"/>
    <x v="0"/>
    <n v="26610"/>
  </r>
  <r>
    <s v="CSKU01949_2EK"/>
    <x v="0"/>
    <x v="0"/>
    <x v="1"/>
    <x v="5"/>
    <x v="3"/>
    <x v="2"/>
    <x v="23"/>
    <x v="1"/>
    <x v="5"/>
    <x v="0"/>
    <n v="29880"/>
  </r>
  <r>
    <s v="CSKU02196_2EK"/>
    <x v="0"/>
    <x v="0"/>
    <x v="0"/>
    <x v="4"/>
    <x v="1"/>
    <x v="1"/>
    <x v="91"/>
    <x v="0"/>
    <x v="4"/>
    <x v="0"/>
    <n v="20860"/>
  </r>
  <r>
    <s v="CSKU02197_2EK"/>
    <x v="0"/>
    <x v="0"/>
    <x v="0"/>
    <x v="4"/>
    <x v="1"/>
    <x v="2"/>
    <x v="91"/>
    <x v="0"/>
    <x v="5"/>
    <x v="0"/>
    <n v="23140"/>
  </r>
  <r>
    <s v="CSKU00576_2EK"/>
    <x v="0"/>
    <x v="0"/>
    <x v="0"/>
    <x v="4"/>
    <x v="1"/>
    <x v="1"/>
    <x v="92"/>
    <x v="0"/>
    <x v="4"/>
    <x v="0"/>
    <n v="20860"/>
  </r>
  <r>
    <s v="CSKU00577_2EK"/>
    <x v="0"/>
    <x v="0"/>
    <x v="0"/>
    <x v="4"/>
    <x v="1"/>
    <x v="2"/>
    <x v="92"/>
    <x v="0"/>
    <x v="5"/>
    <x v="0"/>
    <n v="23140"/>
  </r>
  <r>
    <s v="CSKU00578_2EK"/>
    <x v="0"/>
    <x v="0"/>
    <x v="0"/>
    <x v="4"/>
    <x v="3"/>
    <x v="1"/>
    <x v="92"/>
    <x v="0"/>
    <x v="4"/>
    <x v="0"/>
    <n v="22570"/>
  </r>
  <r>
    <s v="CSKU00579_2EK"/>
    <x v="0"/>
    <x v="0"/>
    <x v="0"/>
    <x v="4"/>
    <x v="3"/>
    <x v="2"/>
    <x v="92"/>
    <x v="0"/>
    <x v="5"/>
    <x v="0"/>
    <n v="25190"/>
  </r>
  <r>
    <s v="CSKU00580_2EK"/>
    <x v="0"/>
    <x v="0"/>
    <x v="0"/>
    <x v="6"/>
    <x v="1"/>
    <x v="1"/>
    <x v="92"/>
    <x v="0"/>
    <x v="4"/>
    <x v="0"/>
    <n v="23870"/>
  </r>
  <r>
    <s v="CSKU00581_2EK"/>
    <x v="0"/>
    <x v="0"/>
    <x v="0"/>
    <x v="6"/>
    <x v="1"/>
    <x v="2"/>
    <x v="92"/>
    <x v="0"/>
    <x v="5"/>
    <x v="0"/>
    <n v="26390"/>
  </r>
  <r>
    <s v="CSKU00582_2EK"/>
    <x v="0"/>
    <x v="0"/>
    <x v="0"/>
    <x v="6"/>
    <x v="3"/>
    <x v="1"/>
    <x v="92"/>
    <x v="0"/>
    <x v="4"/>
    <x v="0"/>
    <n v="25300"/>
  </r>
  <r>
    <s v="CSKU00583_2EK"/>
    <x v="0"/>
    <x v="0"/>
    <x v="0"/>
    <x v="6"/>
    <x v="3"/>
    <x v="2"/>
    <x v="92"/>
    <x v="0"/>
    <x v="5"/>
    <x v="0"/>
    <n v="28760"/>
  </r>
  <r>
    <s v="CSKU00136_2EK"/>
    <x v="0"/>
    <x v="0"/>
    <x v="0"/>
    <x v="5"/>
    <x v="3"/>
    <x v="1"/>
    <x v="35"/>
    <x v="0"/>
    <x v="4"/>
    <x v="0"/>
    <n v="22880"/>
  </r>
  <r>
    <s v="CSKU00137_2EK"/>
    <x v="0"/>
    <x v="0"/>
    <x v="0"/>
    <x v="5"/>
    <x v="3"/>
    <x v="2"/>
    <x v="35"/>
    <x v="0"/>
    <x v="5"/>
    <x v="0"/>
    <n v="26510"/>
  </r>
  <r>
    <s v="CSKU00138_2EK"/>
    <x v="0"/>
    <x v="0"/>
    <x v="1"/>
    <x v="4"/>
    <x v="1"/>
    <x v="1"/>
    <x v="35"/>
    <x v="1"/>
    <x v="4"/>
    <x v="0"/>
    <n v="14880"/>
  </r>
  <r>
    <s v="CSKU00139_2EK"/>
    <x v="0"/>
    <x v="0"/>
    <x v="1"/>
    <x v="4"/>
    <x v="1"/>
    <x v="2"/>
    <x v="35"/>
    <x v="1"/>
    <x v="5"/>
    <x v="0"/>
    <n v="16920"/>
  </r>
  <r>
    <s v="CSKU00140_2EK"/>
    <x v="0"/>
    <x v="0"/>
    <x v="1"/>
    <x v="4"/>
    <x v="3"/>
    <x v="1"/>
    <x v="35"/>
    <x v="1"/>
    <x v="4"/>
    <x v="0"/>
    <n v="16060"/>
  </r>
  <r>
    <s v="CSKU00141_2EK"/>
    <x v="0"/>
    <x v="0"/>
    <x v="1"/>
    <x v="4"/>
    <x v="3"/>
    <x v="2"/>
    <x v="35"/>
    <x v="1"/>
    <x v="5"/>
    <x v="0"/>
    <n v="18420"/>
  </r>
  <r>
    <s v="CSKU00142_2EK"/>
    <x v="0"/>
    <x v="0"/>
    <x v="1"/>
    <x v="6"/>
    <x v="1"/>
    <x v="1"/>
    <x v="35"/>
    <x v="1"/>
    <x v="4"/>
    <x v="0"/>
    <n v="17210"/>
  </r>
  <r>
    <s v="CSKU00143_2EK"/>
    <x v="0"/>
    <x v="0"/>
    <x v="1"/>
    <x v="6"/>
    <x v="1"/>
    <x v="2"/>
    <x v="35"/>
    <x v="1"/>
    <x v="5"/>
    <x v="0"/>
    <n v="19460"/>
  </r>
  <r>
    <s v="CSKU00144_2EK"/>
    <x v="0"/>
    <x v="0"/>
    <x v="1"/>
    <x v="6"/>
    <x v="3"/>
    <x v="1"/>
    <x v="35"/>
    <x v="1"/>
    <x v="4"/>
    <x v="0"/>
    <n v="18330"/>
  </r>
  <r>
    <s v="CSKU00145_2EK"/>
    <x v="0"/>
    <x v="0"/>
    <x v="1"/>
    <x v="6"/>
    <x v="3"/>
    <x v="2"/>
    <x v="35"/>
    <x v="1"/>
    <x v="5"/>
    <x v="0"/>
    <n v="21410"/>
  </r>
  <r>
    <s v="CSKU00146_2EK"/>
    <x v="0"/>
    <x v="0"/>
    <x v="1"/>
    <x v="5"/>
    <x v="1"/>
    <x v="1"/>
    <x v="35"/>
    <x v="1"/>
    <x v="4"/>
    <x v="0"/>
    <n v="19290"/>
  </r>
  <r>
    <s v="CSKU00147_2EK"/>
    <x v="0"/>
    <x v="0"/>
    <x v="1"/>
    <x v="5"/>
    <x v="1"/>
    <x v="2"/>
    <x v="35"/>
    <x v="1"/>
    <x v="5"/>
    <x v="0"/>
    <n v="21720"/>
  </r>
  <r>
    <s v="CSKU00148_2EK"/>
    <x v="0"/>
    <x v="0"/>
    <x v="1"/>
    <x v="5"/>
    <x v="3"/>
    <x v="1"/>
    <x v="35"/>
    <x v="1"/>
    <x v="4"/>
    <x v="0"/>
    <n v="20430"/>
  </r>
  <r>
    <s v="CSKU00396_2EK"/>
    <x v="0"/>
    <x v="0"/>
    <x v="0"/>
    <x v="4"/>
    <x v="1"/>
    <x v="1"/>
    <x v="93"/>
    <x v="0"/>
    <x v="4"/>
    <x v="0"/>
    <n v="20860"/>
  </r>
  <r>
    <s v="CSKU00397_2EK"/>
    <x v="0"/>
    <x v="0"/>
    <x v="0"/>
    <x v="4"/>
    <x v="1"/>
    <x v="2"/>
    <x v="93"/>
    <x v="0"/>
    <x v="5"/>
    <x v="0"/>
    <n v="23140"/>
  </r>
  <r>
    <s v="CSKU00398_2EK"/>
    <x v="0"/>
    <x v="0"/>
    <x v="0"/>
    <x v="4"/>
    <x v="3"/>
    <x v="1"/>
    <x v="93"/>
    <x v="0"/>
    <x v="4"/>
    <x v="0"/>
    <n v="22570"/>
  </r>
  <r>
    <s v="CSKU00399_2EK"/>
    <x v="0"/>
    <x v="0"/>
    <x v="0"/>
    <x v="4"/>
    <x v="3"/>
    <x v="2"/>
    <x v="93"/>
    <x v="0"/>
    <x v="5"/>
    <x v="0"/>
    <n v="25190"/>
  </r>
  <r>
    <s v="CSKU00400_2EK"/>
    <x v="0"/>
    <x v="0"/>
    <x v="0"/>
    <x v="6"/>
    <x v="1"/>
    <x v="1"/>
    <x v="93"/>
    <x v="0"/>
    <x v="4"/>
    <x v="0"/>
    <n v="23870"/>
  </r>
  <r>
    <s v="CSKU00401_2EK"/>
    <x v="0"/>
    <x v="0"/>
    <x v="0"/>
    <x v="6"/>
    <x v="1"/>
    <x v="2"/>
    <x v="93"/>
    <x v="0"/>
    <x v="5"/>
    <x v="0"/>
    <n v="26390"/>
  </r>
  <r>
    <s v="CSKU00687_2EK"/>
    <x v="0"/>
    <x v="0"/>
    <x v="1"/>
    <x v="5"/>
    <x v="1"/>
    <x v="2"/>
    <x v="31"/>
    <x v="1"/>
    <x v="5"/>
    <x v="0"/>
    <n v="27450"/>
  </r>
  <r>
    <s v="CSKU00688_2EK"/>
    <x v="0"/>
    <x v="0"/>
    <x v="1"/>
    <x v="5"/>
    <x v="3"/>
    <x v="1"/>
    <x v="31"/>
    <x v="1"/>
    <x v="4"/>
    <x v="0"/>
    <n v="26610"/>
  </r>
  <r>
    <s v="CSKU00689_2EK"/>
    <x v="0"/>
    <x v="0"/>
    <x v="1"/>
    <x v="5"/>
    <x v="3"/>
    <x v="2"/>
    <x v="31"/>
    <x v="1"/>
    <x v="5"/>
    <x v="0"/>
    <n v="29880"/>
  </r>
  <r>
    <m/>
    <x v="0"/>
    <x v="1"/>
    <x v="0"/>
    <x v="0"/>
    <x v="2"/>
    <x v="5"/>
    <x v="52"/>
    <x v="0"/>
    <x v="3"/>
    <x v="0"/>
    <n v="38870"/>
  </r>
  <r>
    <m/>
    <x v="0"/>
    <x v="1"/>
    <x v="0"/>
    <x v="0"/>
    <x v="2"/>
    <x v="5"/>
    <x v="53"/>
    <x v="0"/>
    <x v="3"/>
    <x v="0"/>
    <n v="38870"/>
  </r>
  <r>
    <m/>
    <x v="0"/>
    <x v="1"/>
    <x v="0"/>
    <x v="0"/>
    <x v="2"/>
    <x v="5"/>
    <x v="6"/>
    <x v="0"/>
    <x v="3"/>
    <x v="0"/>
    <n v="38870"/>
  </r>
  <r>
    <m/>
    <x v="0"/>
    <x v="1"/>
    <x v="0"/>
    <x v="0"/>
    <x v="2"/>
    <x v="5"/>
    <x v="37"/>
    <x v="0"/>
    <x v="3"/>
    <x v="0"/>
    <n v="38870"/>
  </r>
  <r>
    <m/>
    <x v="0"/>
    <x v="1"/>
    <x v="0"/>
    <x v="0"/>
    <x v="2"/>
    <x v="5"/>
    <x v="38"/>
    <x v="0"/>
    <x v="3"/>
    <x v="0"/>
    <n v="38870"/>
  </r>
  <r>
    <m/>
    <x v="0"/>
    <x v="1"/>
    <x v="0"/>
    <x v="0"/>
    <x v="2"/>
    <x v="5"/>
    <x v="39"/>
    <x v="0"/>
    <x v="3"/>
    <x v="0"/>
    <n v="38870"/>
  </r>
  <r>
    <m/>
    <x v="0"/>
    <x v="1"/>
    <x v="0"/>
    <x v="0"/>
    <x v="2"/>
    <x v="5"/>
    <x v="40"/>
    <x v="0"/>
    <x v="3"/>
    <x v="0"/>
    <n v="38870"/>
  </r>
  <r>
    <m/>
    <x v="0"/>
    <x v="1"/>
    <x v="0"/>
    <x v="0"/>
    <x v="2"/>
    <x v="5"/>
    <x v="41"/>
    <x v="0"/>
    <x v="3"/>
    <x v="0"/>
    <n v="38870"/>
  </r>
  <r>
    <m/>
    <x v="0"/>
    <x v="1"/>
    <x v="0"/>
    <x v="0"/>
    <x v="2"/>
    <x v="5"/>
    <x v="42"/>
    <x v="0"/>
    <x v="3"/>
    <x v="0"/>
    <n v="38870"/>
  </r>
  <r>
    <m/>
    <x v="0"/>
    <x v="1"/>
    <x v="0"/>
    <x v="0"/>
    <x v="2"/>
    <x v="5"/>
    <x v="43"/>
    <x v="0"/>
    <x v="3"/>
    <x v="0"/>
    <n v="38870"/>
  </r>
  <r>
    <m/>
    <x v="0"/>
    <x v="1"/>
    <x v="0"/>
    <x v="0"/>
    <x v="2"/>
    <x v="5"/>
    <x v="44"/>
    <x v="0"/>
    <x v="3"/>
    <x v="0"/>
    <n v="38870"/>
  </r>
  <r>
    <m/>
    <x v="0"/>
    <x v="1"/>
    <x v="0"/>
    <x v="0"/>
    <x v="2"/>
    <x v="5"/>
    <x v="45"/>
    <x v="0"/>
    <x v="3"/>
    <x v="0"/>
    <n v="38870"/>
  </r>
  <r>
    <m/>
    <x v="0"/>
    <x v="1"/>
    <x v="0"/>
    <x v="0"/>
    <x v="2"/>
    <x v="5"/>
    <x v="46"/>
    <x v="0"/>
    <x v="3"/>
    <x v="0"/>
    <n v="38870"/>
  </r>
  <r>
    <m/>
    <x v="0"/>
    <x v="1"/>
    <x v="0"/>
    <x v="0"/>
    <x v="2"/>
    <x v="5"/>
    <x v="4"/>
    <x v="0"/>
    <x v="3"/>
    <x v="0"/>
    <n v="38870"/>
  </r>
  <r>
    <m/>
    <x v="0"/>
    <x v="1"/>
    <x v="0"/>
    <x v="2"/>
    <x v="0"/>
    <x v="3"/>
    <x v="46"/>
    <x v="0"/>
    <x v="2"/>
    <x v="0"/>
    <n v="35110"/>
  </r>
  <r>
    <m/>
    <x v="0"/>
    <x v="1"/>
    <x v="0"/>
    <x v="2"/>
    <x v="0"/>
    <x v="3"/>
    <x v="4"/>
    <x v="0"/>
    <x v="2"/>
    <x v="0"/>
    <n v="35110"/>
  </r>
  <r>
    <m/>
    <x v="0"/>
    <x v="1"/>
    <x v="0"/>
    <x v="2"/>
    <x v="0"/>
    <x v="3"/>
    <x v="47"/>
    <x v="0"/>
    <x v="2"/>
    <x v="0"/>
    <n v="35110"/>
  </r>
  <r>
    <m/>
    <x v="0"/>
    <x v="1"/>
    <x v="0"/>
    <x v="2"/>
    <x v="0"/>
    <x v="3"/>
    <x v="48"/>
    <x v="0"/>
    <x v="2"/>
    <x v="0"/>
    <n v="35110"/>
  </r>
  <r>
    <m/>
    <x v="0"/>
    <x v="1"/>
    <x v="0"/>
    <x v="2"/>
    <x v="0"/>
    <x v="4"/>
    <x v="49"/>
    <x v="0"/>
    <x v="2"/>
    <x v="0"/>
    <n v="40630"/>
  </r>
  <r>
    <m/>
    <x v="0"/>
    <x v="1"/>
    <x v="0"/>
    <x v="2"/>
    <x v="0"/>
    <x v="4"/>
    <x v="50"/>
    <x v="0"/>
    <x v="2"/>
    <x v="0"/>
    <n v="40630"/>
  </r>
  <r>
    <m/>
    <x v="0"/>
    <x v="1"/>
    <x v="0"/>
    <x v="2"/>
    <x v="0"/>
    <x v="4"/>
    <x v="51"/>
    <x v="0"/>
    <x v="2"/>
    <x v="0"/>
    <n v="40630"/>
  </r>
  <r>
    <m/>
    <x v="0"/>
    <x v="1"/>
    <x v="0"/>
    <x v="2"/>
    <x v="0"/>
    <x v="4"/>
    <x v="52"/>
    <x v="0"/>
    <x v="2"/>
    <x v="0"/>
    <n v="40630"/>
  </r>
  <r>
    <m/>
    <x v="0"/>
    <x v="1"/>
    <x v="0"/>
    <x v="2"/>
    <x v="0"/>
    <x v="4"/>
    <x v="53"/>
    <x v="0"/>
    <x v="2"/>
    <x v="0"/>
    <n v="40630"/>
  </r>
  <r>
    <m/>
    <x v="0"/>
    <x v="1"/>
    <x v="0"/>
    <x v="2"/>
    <x v="0"/>
    <x v="4"/>
    <x v="6"/>
    <x v="0"/>
    <x v="2"/>
    <x v="0"/>
    <n v="40630"/>
  </r>
  <r>
    <m/>
    <x v="0"/>
    <x v="1"/>
    <x v="0"/>
    <x v="2"/>
    <x v="0"/>
    <x v="4"/>
    <x v="37"/>
    <x v="0"/>
    <x v="2"/>
    <x v="0"/>
    <n v="40630"/>
  </r>
  <r>
    <m/>
    <x v="0"/>
    <x v="1"/>
    <x v="0"/>
    <x v="2"/>
    <x v="0"/>
    <x v="4"/>
    <x v="38"/>
    <x v="0"/>
    <x v="2"/>
    <x v="0"/>
    <n v="40630"/>
  </r>
  <r>
    <m/>
    <x v="0"/>
    <x v="1"/>
    <x v="0"/>
    <x v="2"/>
    <x v="0"/>
    <x v="4"/>
    <x v="39"/>
    <x v="0"/>
    <x v="2"/>
    <x v="0"/>
    <n v="40630"/>
  </r>
  <r>
    <m/>
    <x v="0"/>
    <x v="1"/>
    <x v="0"/>
    <x v="2"/>
    <x v="0"/>
    <x v="4"/>
    <x v="40"/>
    <x v="0"/>
    <x v="2"/>
    <x v="0"/>
    <n v="40630"/>
  </r>
  <r>
    <m/>
    <x v="0"/>
    <x v="1"/>
    <x v="1"/>
    <x v="0"/>
    <x v="2"/>
    <x v="4"/>
    <x v="43"/>
    <x v="1"/>
    <x v="3"/>
    <x v="0"/>
    <n v="32560"/>
  </r>
  <r>
    <m/>
    <x v="0"/>
    <x v="1"/>
    <x v="1"/>
    <x v="0"/>
    <x v="2"/>
    <x v="4"/>
    <x v="44"/>
    <x v="1"/>
    <x v="3"/>
    <x v="0"/>
    <n v="32560"/>
  </r>
  <r>
    <m/>
    <x v="0"/>
    <x v="1"/>
    <x v="1"/>
    <x v="0"/>
    <x v="2"/>
    <x v="4"/>
    <x v="45"/>
    <x v="1"/>
    <x v="3"/>
    <x v="0"/>
    <n v="32560"/>
  </r>
  <r>
    <m/>
    <x v="0"/>
    <x v="1"/>
    <x v="1"/>
    <x v="0"/>
    <x v="2"/>
    <x v="4"/>
    <x v="46"/>
    <x v="1"/>
    <x v="3"/>
    <x v="0"/>
    <n v="32560"/>
  </r>
  <r>
    <m/>
    <x v="0"/>
    <x v="1"/>
    <x v="1"/>
    <x v="0"/>
    <x v="2"/>
    <x v="4"/>
    <x v="4"/>
    <x v="1"/>
    <x v="3"/>
    <x v="0"/>
    <n v="32560"/>
  </r>
  <r>
    <m/>
    <x v="0"/>
    <x v="1"/>
    <x v="1"/>
    <x v="0"/>
    <x v="2"/>
    <x v="4"/>
    <x v="47"/>
    <x v="1"/>
    <x v="3"/>
    <x v="0"/>
    <n v="32560"/>
  </r>
  <r>
    <m/>
    <x v="0"/>
    <x v="1"/>
    <x v="1"/>
    <x v="0"/>
    <x v="2"/>
    <x v="4"/>
    <x v="48"/>
    <x v="1"/>
    <x v="3"/>
    <x v="0"/>
    <n v="32560"/>
  </r>
  <r>
    <m/>
    <x v="0"/>
    <x v="1"/>
    <x v="1"/>
    <x v="0"/>
    <x v="2"/>
    <x v="5"/>
    <x v="49"/>
    <x v="1"/>
    <x v="3"/>
    <x v="0"/>
    <n v="37390"/>
  </r>
  <r>
    <m/>
    <x v="0"/>
    <x v="1"/>
    <x v="1"/>
    <x v="0"/>
    <x v="2"/>
    <x v="5"/>
    <x v="50"/>
    <x v="1"/>
    <x v="3"/>
    <x v="0"/>
    <n v="37390"/>
  </r>
  <r>
    <m/>
    <x v="0"/>
    <x v="1"/>
    <x v="1"/>
    <x v="0"/>
    <x v="2"/>
    <x v="5"/>
    <x v="51"/>
    <x v="1"/>
    <x v="3"/>
    <x v="0"/>
    <n v="37390"/>
  </r>
  <r>
    <m/>
    <x v="0"/>
    <x v="1"/>
    <x v="1"/>
    <x v="0"/>
    <x v="2"/>
    <x v="5"/>
    <x v="52"/>
    <x v="1"/>
    <x v="3"/>
    <x v="0"/>
    <n v="37390"/>
  </r>
  <r>
    <m/>
    <x v="0"/>
    <x v="1"/>
    <x v="1"/>
    <x v="0"/>
    <x v="2"/>
    <x v="5"/>
    <x v="53"/>
    <x v="1"/>
    <x v="3"/>
    <x v="0"/>
    <n v="37390"/>
  </r>
  <r>
    <m/>
    <x v="0"/>
    <x v="1"/>
    <x v="1"/>
    <x v="0"/>
    <x v="2"/>
    <x v="5"/>
    <x v="6"/>
    <x v="1"/>
    <x v="3"/>
    <x v="0"/>
    <n v="37390"/>
  </r>
  <r>
    <m/>
    <x v="0"/>
    <x v="1"/>
    <x v="1"/>
    <x v="0"/>
    <x v="2"/>
    <x v="5"/>
    <x v="37"/>
    <x v="1"/>
    <x v="3"/>
    <x v="0"/>
    <n v="37390"/>
  </r>
  <r>
    <m/>
    <x v="0"/>
    <x v="1"/>
    <x v="1"/>
    <x v="2"/>
    <x v="0"/>
    <x v="3"/>
    <x v="6"/>
    <x v="1"/>
    <x v="2"/>
    <x v="0"/>
    <n v="33320"/>
  </r>
  <r>
    <m/>
    <x v="0"/>
    <x v="1"/>
    <x v="1"/>
    <x v="2"/>
    <x v="0"/>
    <x v="3"/>
    <x v="37"/>
    <x v="1"/>
    <x v="2"/>
    <x v="0"/>
    <n v="33320"/>
  </r>
  <r>
    <m/>
    <x v="0"/>
    <x v="1"/>
    <x v="1"/>
    <x v="2"/>
    <x v="0"/>
    <x v="3"/>
    <x v="38"/>
    <x v="1"/>
    <x v="2"/>
    <x v="0"/>
    <n v="33320"/>
  </r>
  <r>
    <m/>
    <x v="0"/>
    <x v="1"/>
    <x v="1"/>
    <x v="2"/>
    <x v="0"/>
    <x v="3"/>
    <x v="39"/>
    <x v="1"/>
    <x v="2"/>
    <x v="0"/>
    <n v="33320"/>
  </r>
  <r>
    <m/>
    <x v="0"/>
    <x v="1"/>
    <x v="1"/>
    <x v="2"/>
    <x v="0"/>
    <x v="3"/>
    <x v="40"/>
    <x v="1"/>
    <x v="2"/>
    <x v="0"/>
    <n v="33320"/>
  </r>
  <r>
    <m/>
    <x v="0"/>
    <x v="1"/>
    <x v="1"/>
    <x v="2"/>
    <x v="0"/>
    <x v="3"/>
    <x v="41"/>
    <x v="1"/>
    <x v="2"/>
    <x v="0"/>
    <n v="33320"/>
  </r>
  <r>
    <m/>
    <x v="0"/>
    <x v="1"/>
    <x v="1"/>
    <x v="2"/>
    <x v="0"/>
    <x v="3"/>
    <x v="42"/>
    <x v="1"/>
    <x v="2"/>
    <x v="0"/>
    <n v="33320"/>
  </r>
  <r>
    <m/>
    <x v="0"/>
    <x v="1"/>
    <x v="1"/>
    <x v="2"/>
    <x v="0"/>
    <x v="3"/>
    <x v="43"/>
    <x v="1"/>
    <x v="2"/>
    <x v="0"/>
    <n v="33320"/>
  </r>
  <r>
    <m/>
    <x v="0"/>
    <x v="1"/>
    <x v="1"/>
    <x v="2"/>
    <x v="0"/>
    <x v="3"/>
    <x v="44"/>
    <x v="1"/>
    <x v="2"/>
    <x v="0"/>
    <n v="33320"/>
  </r>
  <r>
    <m/>
    <x v="0"/>
    <x v="1"/>
    <x v="1"/>
    <x v="2"/>
    <x v="0"/>
    <x v="3"/>
    <x v="45"/>
    <x v="1"/>
    <x v="2"/>
    <x v="0"/>
    <n v="33320"/>
  </r>
  <r>
    <m/>
    <x v="0"/>
    <x v="1"/>
    <x v="1"/>
    <x v="2"/>
    <x v="0"/>
    <x v="3"/>
    <x v="46"/>
    <x v="1"/>
    <x v="2"/>
    <x v="0"/>
    <n v="33320"/>
  </r>
  <r>
    <m/>
    <x v="0"/>
    <x v="1"/>
    <x v="1"/>
    <x v="2"/>
    <x v="0"/>
    <x v="3"/>
    <x v="4"/>
    <x v="1"/>
    <x v="2"/>
    <x v="0"/>
    <n v="33320"/>
  </r>
  <r>
    <m/>
    <x v="0"/>
    <x v="1"/>
    <x v="1"/>
    <x v="2"/>
    <x v="0"/>
    <x v="3"/>
    <x v="47"/>
    <x v="1"/>
    <x v="2"/>
    <x v="0"/>
    <n v="33320"/>
  </r>
  <r>
    <m/>
    <x v="0"/>
    <x v="1"/>
    <x v="1"/>
    <x v="2"/>
    <x v="0"/>
    <x v="3"/>
    <x v="48"/>
    <x v="1"/>
    <x v="2"/>
    <x v="0"/>
    <n v="33320"/>
  </r>
  <r>
    <m/>
    <x v="0"/>
    <x v="0"/>
    <x v="0"/>
    <x v="2"/>
    <x v="0"/>
    <x v="0"/>
    <x v="56"/>
    <x v="0"/>
    <x v="0"/>
    <x v="0"/>
    <n v="28760"/>
  </r>
  <r>
    <m/>
    <x v="0"/>
    <x v="0"/>
    <x v="0"/>
    <x v="2"/>
    <x v="0"/>
    <x v="0"/>
    <x v="57"/>
    <x v="0"/>
    <x v="0"/>
    <x v="0"/>
    <n v="28760"/>
  </r>
  <r>
    <m/>
    <x v="0"/>
    <x v="0"/>
    <x v="0"/>
    <x v="2"/>
    <x v="0"/>
    <x v="0"/>
    <x v="58"/>
    <x v="0"/>
    <x v="0"/>
    <x v="0"/>
    <n v="28760"/>
  </r>
  <r>
    <m/>
    <x v="0"/>
    <x v="0"/>
    <x v="0"/>
    <x v="2"/>
    <x v="0"/>
    <x v="0"/>
    <x v="59"/>
    <x v="0"/>
    <x v="0"/>
    <x v="0"/>
    <n v="28760"/>
  </r>
  <r>
    <m/>
    <x v="0"/>
    <x v="0"/>
    <x v="0"/>
    <x v="2"/>
    <x v="0"/>
    <x v="0"/>
    <x v="60"/>
    <x v="0"/>
    <x v="0"/>
    <x v="0"/>
    <n v="28760"/>
  </r>
  <r>
    <m/>
    <x v="0"/>
    <x v="0"/>
    <x v="0"/>
    <x v="2"/>
    <x v="0"/>
    <x v="0"/>
    <x v="61"/>
    <x v="0"/>
    <x v="0"/>
    <x v="0"/>
    <n v="28760"/>
  </r>
  <r>
    <m/>
    <x v="0"/>
    <x v="0"/>
    <x v="0"/>
    <x v="2"/>
    <x v="0"/>
    <x v="0"/>
    <x v="62"/>
    <x v="0"/>
    <x v="0"/>
    <x v="0"/>
    <n v="28760"/>
  </r>
  <r>
    <m/>
    <x v="0"/>
    <x v="0"/>
    <x v="0"/>
    <x v="2"/>
    <x v="0"/>
    <x v="0"/>
    <x v="63"/>
    <x v="0"/>
    <x v="0"/>
    <x v="0"/>
    <n v="28760"/>
  </r>
  <r>
    <m/>
    <x v="0"/>
    <x v="0"/>
    <x v="0"/>
    <x v="2"/>
    <x v="0"/>
    <x v="0"/>
    <x v="64"/>
    <x v="0"/>
    <x v="0"/>
    <x v="0"/>
    <n v="28760"/>
  </r>
  <r>
    <m/>
    <x v="0"/>
    <x v="0"/>
    <x v="0"/>
    <x v="2"/>
    <x v="0"/>
    <x v="0"/>
    <x v="65"/>
    <x v="0"/>
    <x v="0"/>
    <x v="0"/>
    <n v="28760"/>
  </r>
  <r>
    <m/>
    <x v="0"/>
    <x v="0"/>
    <x v="0"/>
    <x v="2"/>
    <x v="0"/>
    <x v="0"/>
    <x v="66"/>
    <x v="0"/>
    <x v="0"/>
    <x v="0"/>
    <n v="28760"/>
  </r>
  <r>
    <m/>
    <x v="0"/>
    <x v="0"/>
    <x v="0"/>
    <x v="2"/>
    <x v="0"/>
    <x v="0"/>
    <x v="67"/>
    <x v="0"/>
    <x v="0"/>
    <x v="0"/>
    <n v="28760"/>
  </r>
  <r>
    <m/>
    <x v="0"/>
    <x v="0"/>
    <x v="0"/>
    <x v="2"/>
    <x v="0"/>
    <x v="0"/>
    <x v="68"/>
    <x v="0"/>
    <x v="0"/>
    <x v="0"/>
    <n v="28760"/>
  </r>
  <r>
    <m/>
    <x v="0"/>
    <x v="0"/>
    <x v="0"/>
    <x v="2"/>
    <x v="0"/>
    <x v="0"/>
    <x v="69"/>
    <x v="0"/>
    <x v="0"/>
    <x v="0"/>
    <n v="28760"/>
  </r>
  <r>
    <m/>
    <x v="0"/>
    <x v="0"/>
    <x v="0"/>
    <x v="2"/>
    <x v="0"/>
    <x v="0"/>
    <x v="70"/>
    <x v="0"/>
    <x v="0"/>
    <x v="0"/>
    <n v="28760"/>
  </r>
  <r>
    <m/>
    <x v="0"/>
    <x v="0"/>
    <x v="0"/>
    <x v="2"/>
    <x v="0"/>
    <x v="0"/>
    <x v="2"/>
    <x v="0"/>
    <x v="0"/>
    <x v="0"/>
    <n v="28760"/>
  </r>
  <r>
    <m/>
    <x v="0"/>
    <x v="0"/>
    <x v="0"/>
    <x v="2"/>
    <x v="0"/>
    <x v="0"/>
    <x v="71"/>
    <x v="0"/>
    <x v="0"/>
    <x v="0"/>
    <n v="28760"/>
  </r>
  <r>
    <m/>
    <x v="0"/>
    <x v="0"/>
    <x v="0"/>
    <x v="2"/>
    <x v="0"/>
    <x v="0"/>
    <x v="72"/>
    <x v="0"/>
    <x v="0"/>
    <x v="0"/>
    <n v="28760"/>
  </r>
  <r>
    <m/>
    <x v="0"/>
    <x v="0"/>
    <x v="1"/>
    <x v="0"/>
    <x v="0"/>
    <x v="6"/>
    <x v="57"/>
    <x v="1"/>
    <x v="0"/>
    <x v="0"/>
    <n v="21880"/>
  </r>
  <r>
    <m/>
    <x v="0"/>
    <x v="0"/>
    <x v="1"/>
    <x v="0"/>
    <x v="0"/>
    <x v="6"/>
    <x v="58"/>
    <x v="1"/>
    <x v="0"/>
    <x v="0"/>
    <n v="21880"/>
  </r>
  <r>
    <m/>
    <x v="0"/>
    <x v="0"/>
    <x v="1"/>
    <x v="0"/>
    <x v="0"/>
    <x v="6"/>
    <x v="59"/>
    <x v="1"/>
    <x v="0"/>
    <x v="0"/>
    <n v="21880"/>
  </r>
  <r>
    <m/>
    <x v="0"/>
    <x v="0"/>
    <x v="1"/>
    <x v="0"/>
    <x v="0"/>
    <x v="6"/>
    <x v="60"/>
    <x v="1"/>
    <x v="0"/>
    <x v="0"/>
    <n v="21880"/>
  </r>
  <r>
    <m/>
    <x v="0"/>
    <x v="0"/>
    <x v="1"/>
    <x v="0"/>
    <x v="0"/>
    <x v="6"/>
    <x v="61"/>
    <x v="1"/>
    <x v="0"/>
    <x v="0"/>
    <n v="21880"/>
  </r>
  <r>
    <m/>
    <x v="0"/>
    <x v="0"/>
    <x v="1"/>
    <x v="0"/>
    <x v="0"/>
    <x v="6"/>
    <x v="62"/>
    <x v="1"/>
    <x v="0"/>
    <x v="0"/>
    <n v="21880"/>
  </r>
  <r>
    <m/>
    <x v="0"/>
    <x v="0"/>
    <x v="1"/>
    <x v="0"/>
    <x v="0"/>
    <x v="6"/>
    <x v="63"/>
    <x v="1"/>
    <x v="0"/>
    <x v="0"/>
    <n v="21880"/>
  </r>
  <r>
    <m/>
    <x v="0"/>
    <x v="0"/>
    <x v="1"/>
    <x v="0"/>
    <x v="0"/>
    <x v="6"/>
    <x v="64"/>
    <x v="1"/>
    <x v="0"/>
    <x v="0"/>
    <n v="21880"/>
  </r>
  <r>
    <m/>
    <x v="0"/>
    <x v="0"/>
    <x v="1"/>
    <x v="0"/>
    <x v="0"/>
    <x v="6"/>
    <x v="65"/>
    <x v="1"/>
    <x v="0"/>
    <x v="0"/>
    <n v="21880"/>
  </r>
  <r>
    <m/>
    <x v="0"/>
    <x v="0"/>
    <x v="1"/>
    <x v="0"/>
    <x v="0"/>
    <x v="6"/>
    <x v="66"/>
    <x v="1"/>
    <x v="0"/>
    <x v="0"/>
    <n v="21880"/>
  </r>
  <r>
    <m/>
    <x v="0"/>
    <x v="0"/>
    <x v="1"/>
    <x v="0"/>
    <x v="0"/>
    <x v="6"/>
    <x v="67"/>
    <x v="1"/>
    <x v="0"/>
    <x v="0"/>
    <n v="21880"/>
  </r>
  <r>
    <m/>
    <x v="0"/>
    <x v="0"/>
    <x v="1"/>
    <x v="0"/>
    <x v="0"/>
    <x v="6"/>
    <x v="68"/>
    <x v="1"/>
    <x v="0"/>
    <x v="0"/>
    <n v="21880"/>
  </r>
  <r>
    <m/>
    <x v="0"/>
    <x v="0"/>
    <x v="1"/>
    <x v="0"/>
    <x v="0"/>
    <x v="6"/>
    <x v="69"/>
    <x v="1"/>
    <x v="0"/>
    <x v="0"/>
    <n v="21880"/>
  </r>
  <r>
    <m/>
    <x v="0"/>
    <x v="0"/>
    <x v="1"/>
    <x v="0"/>
    <x v="0"/>
    <x v="6"/>
    <x v="70"/>
    <x v="1"/>
    <x v="0"/>
    <x v="0"/>
    <n v="21880"/>
  </r>
  <r>
    <m/>
    <x v="0"/>
    <x v="0"/>
    <x v="1"/>
    <x v="0"/>
    <x v="0"/>
    <x v="6"/>
    <x v="2"/>
    <x v="1"/>
    <x v="0"/>
    <x v="0"/>
    <n v="21880"/>
  </r>
  <r>
    <m/>
    <x v="0"/>
    <x v="0"/>
    <x v="1"/>
    <x v="0"/>
    <x v="0"/>
    <x v="6"/>
    <x v="71"/>
    <x v="1"/>
    <x v="0"/>
    <x v="0"/>
    <n v="21880"/>
  </r>
  <r>
    <m/>
    <x v="0"/>
    <x v="0"/>
    <x v="1"/>
    <x v="0"/>
    <x v="0"/>
    <x v="6"/>
    <x v="72"/>
    <x v="1"/>
    <x v="0"/>
    <x v="0"/>
    <n v="21880"/>
  </r>
  <r>
    <m/>
    <x v="0"/>
    <x v="0"/>
    <x v="0"/>
    <x v="4"/>
    <x v="1"/>
    <x v="1"/>
    <x v="94"/>
    <x v="0"/>
    <x v="1"/>
    <x v="0"/>
    <n v="17700"/>
  </r>
  <r>
    <m/>
    <x v="0"/>
    <x v="0"/>
    <x v="0"/>
    <x v="0"/>
    <x v="2"/>
    <x v="6"/>
    <x v="63"/>
    <x v="0"/>
    <x v="1"/>
    <x v="0"/>
    <n v="20860"/>
  </r>
  <r>
    <m/>
    <x v="0"/>
    <x v="0"/>
    <x v="0"/>
    <x v="2"/>
    <x v="0"/>
    <x v="7"/>
    <x v="0"/>
    <x v="0"/>
    <x v="0"/>
    <x v="0"/>
    <n v="31430"/>
  </r>
  <r>
    <m/>
    <x v="0"/>
    <x v="0"/>
    <x v="1"/>
    <x v="0"/>
    <x v="0"/>
    <x v="0"/>
    <x v="0"/>
    <x v="1"/>
    <x v="0"/>
    <x v="0"/>
    <n v="25030"/>
  </r>
  <r>
    <m/>
    <x v="0"/>
    <x v="1"/>
    <x v="0"/>
    <x v="0"/>
    <x v="2"/>
    <x v="5"/>
    <x v="47"/>
    <x v="0"/>
    <x v="3"/>
    <x v="0"/>
    <n v="38870"/>
  </r>
  <r>
    <m/>
    <x v="0"/>
    <x v="1"/>
    <x v="0"/>
    <x v="2"/>
    <x v="0"/>
    <x v="4"/>
    <x v="41"/>
    <x v="0"/>
    <x v="2"/>
    <x v="0"/>
    <n v="40630"/>
  </r>
  <r>
    <m/>
    <x v="0"/>
    <x v="1"/>
    <x v="1"/>
    <x v="0"/>
    <x v="2"/>
    <x v="5"/>
    <x v="38"/>
    <x v="1"/>
    <x v="3"/>
    <x v="0"/>
    <n v="37390"/>
  </r>
  <r>
    <m/>
    <x v="0"/>
    <x v="1"/>
    <x v="1"/>
    <x v="2"/>
    <x v="0"/>
    <x v="4"/>
    <x v="49"/>
    <x v="1"/>
    <x v="2"/>
    <x v="0"/>
    <n v="38730"/>
  </r>
  <r>
    <s v="CSKU00149_2EK"/>
    <x v="0"/>
    <x v="0"/>
    <x v="1"/>
    <x v="5"/>
    <x v="3"/>
    <x v="2"/>
    <x v="35"/>
    <x v="1"/>
    <x v="5"/>
    <x v="0"/>
    <n v="23700"/>
  </r>
  <r>
    <s v="CSKU00402_2EK"/>
    <x v="0"/>
    <x v="0"/>
    <x v="0"/>
    <x v="6"/>
    <x v="3"/>
    <x v="1"/>
    <x v="93"/>
    <x v="0"/>
    <x v="4"/>
    <x v="0"/>
    <n v="25300"/>
  </r>
  <r>
    <s v="CSKU00584_2EK"/>
    <x v="0"/>
    <x v="0"/>
    <x v="0"/>
    <x v="5"/>
    <x v="1"/>
    <x v="1"/>
    <x v="92"/>
    <x v="0"/>
    <x v="4"/>
    <x v="0"/>
    <n v="26180"/>
  </r>
  <r>
    <s v="CSKU00943_2EK"/>
    <x v="0"/>
    <x v="0"/>
    <x v="0"/>
    <x v="6"/>
    <x v="3"/>
    <x v="2"/>
    <x v="87"/>
    <x v="0"/>
    <x v="5"/>
    <x v="0"/>
    <n v="28760"/>
  </r>
  <r>
    <s v="CSKU01303_2EK"/>
    <x v="0"/>
    <x v="0"/>
    <x v="0"/>
    <x v="6"/>
    <x v="3"/>
    <x v="2"/>
    <x v="90"/>
    <x v="0"/>
    <x v="5"/>
    <x v="0"/>
    <n v="28760"/>
  </r>
  <r>
    <s v="CSKU01583_2EK"/>
    <x v="0"/>
    <x v="0"/>
    <x v="1"/>
    <x v="6"/>
    <x v="1"/>
    <x v="2"/>
    <x v="29"/>
    <x v="1"/>
    <x v="5"/>
    <x v="0"/>
    <n v="25030"/>
  </r>
  <r>
    <s v="CSKU01837_2EK"/>
    <x v="0"/>
    <x v="0"/>
    <x v="0"/>
    <x v="4"/>
    <x v="1"/>
    <x v="2"/>
    <x v="89"/>
    <x v="0"/>
    <x v="5"/>
    <x v="0"/>
    <n v="23140"/>
  </r>
  <r>
    <s v="CSKU02198_2EK"/>
    <x v="0"/>
    <x v="0"/>
    <x v="0"/>
    <x v="4"/>
    <x v="3"/>
    <x v="1"/>
    <x v="91"/>
    <x v="0"/>
    <x v="4"/>
    <x v="0"/>
    <n v="22570"/>
  </r>
  <r>
    <s v="CSKU03275_3EK"/>
    <x v="0"/>
    <x v="1"/>
    <x v="0"/>
    <x v="1"/>
    <x v="1"/>
    <x v="1"/>
    <x v="95"/>
    <x v="0"/>
    <x v="6"/>
    <x v="0"/>
    <n v="29050"/>
  </r>
  <r>
    <s v="CSKU03637_3EK"/>
    <x v="0"/>
    <x v="1"/>
    <x v="0"/>
    <x v="1"/>
    <x v="3"/>
    <x v="1"/>
    <x v="86"/>
    <x v="0"/>
    <x v="6"/>
    <x v="0"/>
    <n v="30900"/>
  </r>
  <r>
    <s v="CSKU04001_3EK"/>
    <x v="0"/>
    <x v="1"/>
    <x v="0"/>
    <x v="3"/>
    <x v="3"/>
    <x v="1"/>
    <x v="88"/>
    <x v="0"/>
    <x v="6"/>
    <x v="0"/>
    <n v="36160"/>
  </r>
  <r>
    <s v="CSKU04277_3EK"/>
    <x v="0"/>
    <x v="1"/>
    <x v="1"/>
    <x v="1"/>
    <x v="1"/>
    <x v="1"/>
    <x v="85"/>
    <x v="1"/>
    <x v="6"/>
    <x v="0"/>
    <n v="27730"/>
  </r>
  <r>
    <s v="CSKU04542_3EK"/>
    <x v="0"/>
    <x v="1"/>
    <x v="0"/>
    <x v="3"/>
    <x v="3"/>
    <x v="2"/>
    <x v="84"/>
    <x v="0"/>
    <x v="7"/>
    <x v="0"/>
    <n v="40630"/>
  </r>
  <r>
    <s v="CSKU04647_3EK"/>
    <x v="0"/>
    <x v="1"/>
    <x v="1"/>
    <x v="2"/>
    <x v="3"/>
    <x v="1"/>
    <x v="18"/>
    <x v="1"/>
    <x v="6"/>
    <x v="0"/>
    <n v="39890"/>
  </r>
  <r>
    <s v="CSKU03276_3EK"/>
    <x v="0"/>
    <x v="1"/>
    <x v="0"/>
    <x v="1"/>
    <x v="1"/>
    <x v="2"/>
    <x v="95"/>
    <x v="0"/>
    <x v="7"/>
    <x v="0"/>
    <n v="32250"/>
  </r>
  <r>
    <s v="CSKU03277_3EK"/>
    <x v="0"/>
    <x v="1"/>
    <x v="0"/>
    <x v="1"/>
    <x v="3"/>
    <x v="1"/>
    <x v="95"/>
    <x v="0"/>
    <x v="6"/>
    <x v="0"/>
    <n v="30900"/>
  </r>
  <r>
    <s v="CSKU03278_3EK"/>
    <x v="0"/>
    <x v="1"/>
    <x v="0"/>
    <x v="1"/>
    <x v="3"/>
    <x v="2"/>
    <x v="95"/>
    <x v="0"/>
    <x v="7"/>
    <x v="0"/>
    <n v="35110"/>
  </r>
  <r>
    <s v="CSKU03279_3EK"/>
    <x v="0"/>
    <x v="1"/>
    <x v="0"/>
    <x v="3"/>
    <x v="1"/>
    <x v="1"/>
    <x v="95"/>
    <x v="0"/>
    <x v="6"/>
    <x v="0"/>
    <n v="33950"/>
  </r>
  <r>
    <s v="CSKU03280_3EK"/>
    <x v="0"/>
    <x v="1"/>
    <x v="0"/>
    <x v="3"/>
    <x v="1"/>
    <x v="2"/>
    <x v="95"/>
    <x v="0"/>
    <x v="7"/>
    <x v="0"/>
    <n v="37160"/>
  </r>
  <r>
    <s v="CSKU03281_3EK"/>
    <x v="0"/>
    <x v="1"/>
    <x v="0"/>
    <x v="3"/>
    <x v="3"/>
    <x v="1"/>
    <x v="95"/>
    <x v="0"/>
    <x v="6"/>
    <x v="0"/>
    <n v="36160"/>
  </r>
  <r>
    <s v="CSKU03282_3EK"/>
    <x v="0"/>
    <x v="1"/>
    <x v="0"/>
    <x v="3"/>
    <x v="3"/>
    <x v="2"/>
    <x v="95"/>
    <x v="0"/>
    <x v="7"/>
    <x v="0"/>
    <n v="40630"/>
  </r>
  <r>
    <s v="CSKU03283_3EK"/>
    <x v="0"/>
    <x v="1"/>
    <x v="0"/>
    <x v="2"/>
    <x v="1"/>
    <x v="1"/>
    <x v="95"/>
    <x v="0"/>
    <x v="6"/>
    <x v="0"/>
    <n v="38870"/>
  </r>
  <r>
    <s v="CSKU03284_3EK"/>
    <x v="0"/>
    <x v="1"/>
    <x v="0"/>
    <x v="2"/>
    <x v="1"/>
    <x v="2"/>
    <x v="95"/>
    <x v="0"/>
    <x v="7"/>
    <x v="0"/>
    <n v="42250"/>
  </r>
  <r>
    <s v="CSKU03285_3EK"/>
    <x v="0"/>
    <x v="1"/>
    <x v="0"/>
    <x v="2"/>
    <x v="3"/>
    <x v="1"/>
    <x v="95"/>
    <x v="0"/>
    <x v="6"/>
    <x v="0"/>
    <n v="41400"/>
  </r>
  <r>
    <s v="CSKU03286_3EK"/>
    <x v="0"/>
    <x v="1"/>
    <x v="0"/>
    <x v="2"/>
    <x v="3"/>
    <x v="2"/>
    <x v="95"/>
    <x v="0"/>
    <x v="7"/>
    <x v="0"/>
    <n v="46040"/>
  </r>
  <r>
    <s v="CSKU03638_3EK"/>
    <x v="0"/>
    <x v="1"/>
    <x v="0"/>
    <x v="1"/>
    <x v="3"/>
    <x v="2"/>
    <x v="86"/>
    <x v="0"/>
    <x v="7"/>
    <x v="0"/>
    <n v="35110"/>
  </r>
  <r>
    <s v="CSKU03639_3EK"/>
    <x v="0"/>
    <x v="1"/>
    <x v="0"/>
    <x v="3"/>
    <x v="1"/>
    <x v="1"/>
    <x v="86"/>
    <x v="0"/>
    <x v="6"/>
    <x v="0"/>
    <n v="33950"/>
  </r>
  <r>
    <s v="CSKU03640_3EK"/>
    <x v="0"/>
    <x v="1"/>
    <x v="0"/>
    <x v="3"/>
    <x v="1"/>
    <x v="2"/>
    <x v="86"/>
    <x v="0"/>
    <x v="7"/>
    <x v="0"/>
    <n v="37160"/>
  </r>
  <r>
    <s v="CSKU03641_3EK"/>
    <x v="0"/>
    <x v="1"/>
    <x v="0"/>
    <x v="3"/>
    <x v="3"/>
    <x v="1"/>
    <x v="86"/>
    <x v="0"/>
    <x v="6"/>
    <x v="0"/>
    <n v="36160"/>
  </r>
  <r>
    <s v="CSKU03642_3EK"/>
    <x v="0"/>
    <x v="1"/>
    <x v="0"/>
    <x v="3"/>
    <x v="3"/>
    <x v="2"/>
    <x v="86"/>
    <x v="0"/>
    <x v="7"/>
    <x v="0"/>
    <n v="40630"/>
  </r>
  <r>
    <s v="CSKU03643_3EK"/>
    <x v="0"/>
    <x v="1"/>
    <x v="0"/>
    <x v="2"/>
    <x v="1"/>
    <x v="1"/>
    <x v="86"/>
    <x v="0"/>
    <x v="6"/>
    <x v="0"/>
    <n v="38870"/>
  </r>
  <r>
    <s v="CSKU03644_3EK"/>
    <x v="0"/>
    <x v="1"/>
    <x v="0"/>
    <x v="2"/>
    <x v="1"/>
    <x v="2"/>
    <x v="86"/>
    <x v="0"/>
    <x v="7"/>
    <x v="0"/>
    <n v="42250"/>
  </r>
  <r>
    <s v="CSKU03645_3EK"/>
    <x v="0"/>
    <x v="1"/>
    <x v="0"/>
    <x v="2"/>
    <x v="3"/>
    <x v="1"/>
    <x v="86"/>
    <x v="0"/>
    <x v="6"/>
    <x v="0"/>
    <n v="41400"/>
  </r>
  <r>
    <s v="CSKU03646_3EK"/>
    <x v="0"/>
    <x v="1"/>
    <x v="0"/>
    <x v="2"/>
    <x v="3"/>
    <x v="2"/>
    <x v="86"/>
    <x v="0"/>
    <x v="7"/>
    <x v="0"/>
    <n v="46040"/>
  </r>
  <r>
    <s v="CSKU03647_3EK"/>
    <x v="0"/>
    <x v="1"/>
    <x v="1"/>
    <x v="1"/>
    <x v="1"/>
    <x v="1"/>
    <x v="86"/>
    <x v="1"/>
    <x v="6"/>
    <x v="0"/>
    <n v="27730"/>
  </r>
  <r>
    <s v="CSKU04002_3EK"/>
    <x v="0"/>
    <x v="1"/>
    <x v="0"/>
    <x v="3"/>
    <x v="3"/>
    <x v="2"/>
    <x v="88"/>
    <x v="0"/>
    <x v="7"/>
    <x v="0"/>
    <n v="40630"/>
  </r>
  <r>
    <s v="CSKU04003_3EK"/>
    <x v="0"/>
    <x v="1"/>
    <x v="0"/>
    <x v="2"/>
    <x v="1"/>
    <x v="1"/>
    <x v="88"/>
    <x v="0"/>
    <x v="6"/>
    <x v="0"/>
    <n v="38870"/>
  </r>
  <r>
    <s v="CSKU04004_3EK"/>
    <x v="0"/>
    <x v="1"/>
    <x v="0"/>
    <x v="2"/>
    <x v="1"/>
    <x v="2"/>
    <x v="88"/>
    <x v="0"/>
    <x v="7"/>
    <x v="0"/>
    <n v="42250"/>
  </r>
  <r>
    <s v="CSKU04005_3EK"/>
    <x v="0"/>
    <x v="1"/>
    <x v="0"/>
    <x v="2"/>
    <x v="3"/>
    <x v="1"/>
    <x v="88"/>
    <x v="0"/>
    <x v="6"/>
    <x v="0"/>
    <n v="41400"/>
  </r>
  <r>
    <s v="CSKU04006_3EK"/>
    <x v="0"/>
    <x v="1"/>
    <x v="0"/>
    <x v="2"/>
    <x v="3"/>
    <x v="2"/>
    <x v="88"/>
    <x v="0"/>
    <x v="7"/>
    <x v="0"/>
    <n v="46040"/>
  </r>
  <r>
    <s v="CSKU04007_3EK"/>
    <x v="0"/>
    <x v="1"/>
    <x v="1"/>
    <x v="1"/>
    <x v="1"/>
    <x v="1"/>
    <x v="88"/>
    <x v="1"/>
    <x v="6"/>
    <x v="0"/>
    <n v="27730"/>
  </r>
  <r>
    <s v="CSKU04008_3EK"/>
    <x v="0"/>
    <x v="1"/>
    <x v="1"/>
    <x v="1"/>
    <x v="1"/>
    <x v="2"/>
    <x v="88"/>
    <x v="1"/>
    <x v="7"/>
    <x v="0"/>
    <n v="30600"/>
  </r>
  <r>
    <s v="CSKU04009_3EK"/>
    <x v="0"/>
    <x v="1"/>
    <x v="1"/>
    <x v="1"/>
    <x v="3"/>
    <x v="1"/>
    <x v="88"/>
    <x v="1"/>
    <x v="6"/>
    <x v="0"/>
    <n v="29550"/>
  </r>
  <r>
    <s v="CSKU04010_3EK"/>
    <x v="0"/>
    <x v="1"/>
    <x v="1"/>
    <x v="1"/>
    <x v="3"/>
    <x v="2"/>
    <x v="88"/>
    <x v="1"/>
    <x v="7"/>
    <x v="0"/>
    <n v="33320"/>
  </r>
  <r>
    <s v="CSKU04011_3EK"/>
    <x v="0"/>
    <x v="1"/>
    <x v="1"/>
    <x v="3"/>
    <x v="1"/>
    <x v="1"/>
    <x v="88"/>
    <x v="1"/>
    <x v="6"/>
    <x v="0"/>
    <n v="32560"/>
  </r>
  <r>
    <s v="CSKU04012_3EK"/>
    <x v="0"/>
    <x v="1"/>
    <x v="1"/>
    <x v="3"/>
    <x v="1"/>
    <x v="2"/>
    <x v="88"/>
    <x v="1"/>
    <x v="7"/>
    <x v="0"/>
    <n v="35430"/>
  </r>
  <r>
    <s v="CSKU04013_3EK"/>
    <x v="0"/>
    <x v="1"/>
    <x v="1"/>
    <x v="3"/>
    <x v="3"/>
    <x v="1"/>
    <x v="88"/>
    <x v="1"/>
    <x v="6"/>
    <x v="0"/>
    <n v="34740"/>
  </r>
  <r>
    <s v="CSKU04278_3EK"/>
    <x v="0"/>
    <x v="1"/>
    <x v="1"/>
    <x v="1"/>
    <x v="1"/>
    <x v="2"/>
    <x v="85"/>
    <x v="1"/>
    <x v="7"/>
    <x v="0"/>
    <n v="30600"/>
  </r>
  <r>
    <s v="CSKU04279_3EK"/>
    <x v="0"/>
    <x v="1"/>
    <x v="1"/>
    <x v="1"/>
    <x v="3"/>
    <x v="1"/>
    <x v="85"/>
    <x v="1"/>
    <x v="6"/>
    <x v="0"/>
    <n v="29550"/>
  </r>
  <r>
    <s v="CSKU04280_3EK"/>
    <x v="0"/>
    <x v="1"/>
    <x v="1"/>
    <x v="1"/>
    <x v="3"/>
    <x v="2"/>
    <x v="85"/>
    <x v="1"/>
    <x v="7"/>
    <x v="0"/>
    <n v="33320"/>
  </r>
  <r>
    <s v="CSKU04281_3EK"/>
    <x v="0"/>
    <x v="1"/>
    <x v="1"/>
    <x v="3"/>
    <x v="1"/>
    <x v="1"/>
    <x v="85"/>
    <x v="1"/>
    <x v="6"/>
    <x v="0"/>
    <n v="32560"/>
  </r>
  <r>
    <s v="CSKU04282_3EK"/>
    <x v="0"/>
    <x v="1"/>
    <x v="1"/>
    <x v="3"/>
    <x v="1"/>
    <x v="2"/>
    <x v="85"/>
    <x v="1"/>
    <x v="7"/>
    <x v="0"/>
    <n v="35430"/>
  </r>
  <r>
    <s v="CSKU04283_3EK"/>
    <x v="0"/>
    <x v="1"/>
    <x v="1"/>
    <x v="3"/>
    <x v="3"/>
    <x v="1"/>
    <x v="85"/>
    <x v="1"/>
    <x v="6"/>
    <x v="0"/>
    <n v="34740"/>
  </r>
  <r>
    <s v="CSKU04284_3EK"/>
    <x v="0"/>
    <x v="1"/>
    <x v="1"/>
    <x v="3"/>
    <x v="3"/>
    <x v="2"/>
    <x v="85"/>
    <x v="1"/>
    <x v="7"/>
    <x v="0"/>
    <n v="38730"/>
  </r>
  <r>
    <s v="CSKU04285_3EK"/>
    <x v="0"/>
    <x v="1"/>
    <x v="1"/>
    <x v="2"/>
    <x v="1"/>
    <x v="1"/>
    <x v="85"/>
    <x v="1"/>
    <x v="6"/>
    <x v="0"/>
    <n v="37390"/>
  </r>
  <r>
    <s v="CSKU04286_3EK"/>
    <x v="0"/>
    <x v="1"/>
    <x v="1"/>
    <x v="2"/>
    <x v="1"/>
    <x v="2"/>
    <x v="85"/>
    <x v="1"/>
    <x v="7"/>
    <x v="0"/>
    <n v="40400"/>
  </r>
  <r>
    <s v="CSKU04287_3EK"/>
    <x v="0"/>
    <x v="1"/>
    <x v="1"/>
    <x v="2"/>
    <x v="3"/>
    <x v="1"/>
    <x v="85"/>
    <x v="1"/>
    <x v="6"/>
    <x v="0"/>
    <n v="39890"/>
  </r>
  <r>
    <s v="CSKU04288_3EK"/>
    <x v="0"/>
    <x v="1"/>
    <x v="1"/>
    <x v="2"/>
    <x v="3"/>
    <x v="2"/>
    <x v="85"/>
    <x v="1"/>
    <x v="7"/>
    <x v="0"/>
    <n v="44020"/>
  </r>
  <r>
    <s v="CSKU04543_3EK"/>
    <x v="0"/>
    <x v="1"/>
    <x v="0"/>
    <x v="2"/>
    <x v="1"/>
    <x v="1"/>
    <x v="84"/>
    <x v="0"/>
    <x v="6"/>
    <x v="0"/>
    <n v="38870"/>
  </r>
  <r>
    <s v="CSKU04544_3EK"/>
    <x v="0"/>
    <x v="1"/>
    <x v="0"/>
    <x v="2"/>
    <x v="1"/>
    <x v="2"/>
    <x v="84"/>
    <x v="0"/>
    <x v="7"/>
    <x v="0"/>
    <n v="42250"/>
  </r>
  <r>
    <s v="CSKU04545_3EK"/>
    <x v="0"/>
    <x v="1"/>
    <x v="0"/>
    <x v="2"/>
    <x v="3"/>
    <x v="1"/>
    <x v="84"/>
    <x v="0"/>
    <x v="6"/>
    <x v="0"/>
    <n v="41400"/>
  </r>
  <r>
    <s v="CSKU04546_3EK"/>
    <x v="0"/>
    <x v="1"/>
    <x v="0"/>
    <x v="2"/>
    <x v="3"/>
    <x v="2"/>
    <x v="84"/>
    <x v="0"/>
    <x v="7"/>
    <x v="0"/>
    <n v="46040"/>
  </r>
  <r>
    <s v="CSKU04547_3EK"/>
    <x v="0"/>
    <x v="1"/>
    <x v="1"/>
    <x v="1"/>
    <x v="1"/>
    <x v="1"/>
    <x v="84"/>
    <x v="1"/>
    <x v="6"/>
    <x v="0"/>
    <n v="27730"/>
  </r>
  <r>
    <s v="CSKU04548_3EK"/>
    <x v="0"/>
    <x v="1"/>
    <x v="1"/>
    <x v="1"/>
    <x v="1"/>
    <x v="2"/>
    <x v="84"/>
    <x v="1"/>
    <x v="7"/>
    <x v="0"/>
    <n v="30600"/>
  </r>
  <r>
    <s v="CSKU04549_3EK"/>
    <x v="0"/>
    <x v="1"/>
    <x v="1"/>
    <x v="1"/>
    <x v="3"/>
    <x v="1"/>
    <x v="84"/>
    <x v="1"/>
    <x v="6"/>
    <x v="0"/>
    <n v="29550"/>
  </r>
  <r>
    <s v="CSKU04550_3EK"/>
    <x v="0"/>
    <x v="1"/>
    <x v="1"/>
    <x v="1"/>
    <x v="3"/>
    <x v="2"/>
    <x v="84"/>
    <x v="1"/>
    <x v="7"/>
    <x v="0"/>
    <n v="33320"/>
  </r>
  <r>
    <s v="CSKU04551_3EK"/>
    <x v="0"/>
    <x v="1"/>
    <x v="1"/>
    <x v="3"/>
    <x v="1"/>
    <x v="1"/>
    <x v="84"/>
    <x v="1"/>
    <x v="6"/>
    <x v="0"/>
    <n v="32560"/>
  </r>
  <r>
    <s v="CSKU04552_3EK"/>
    <x v="0"/>
    <x v="1"/>
    <x v="1"/>
    <x v="3"/>
    <x v="1"/>
    <x v="2"/>
    <x v="84"/>
    <x v="1"/>
    <x v="7"/>
    <x v="0"/>
    <n v="35430"/>
  </r>
  <r>
    <s v="CSKU01304_2EK"/>
    <x v="0"/>
    <x v="0"/>
    <x v="0"/>
    <x v="5"/>
    <x v="1"/>
    <x v="1"/>
    <x v="90"/>
    <x v="0"/>
    <x v="4"/>
    <x v="0"/>
    <n v="26180"/>
  </r>
  <r>
    <s v="CSKU01305_2EK"/>
    <x v="0"/>
    <x v="0"/>
    <x v="0"/>
    <x v="5"/>
    <x v="1"/>
    <x v="2"/>
    <x v="90"/>
    <x v="0"/>
    <x v="5"/>
    <x v="0"/>
    <n v="28890"/>
  </r>
  <r>
    <s v="CSKU01306_2EK"/>
    <x v="0"/>
    <x v="0"/>
    <x v="0"/>
    <x v="5"/>
    <x v="3"/>
    <x v="1"/>
    <x v="90"/>
    <x v="0"/>
    <x v="4"/>
    <x v="0"/>
    <n v="27800"/>
  </r>
  <r>
    <s v="CSKU01307_2EK"/>
    <x v="0"/>
    <x v="0"/>
    <x v="0"/>
    <x v="5"/>
    <x v="3"/>
    <x v="2"/>
    <x v="90"/>
    <x v="0"/>
    <x v="5"/>
    <x v="0"/>
    <n v="31430"/>
  </r>
  <r>
    <s v="CSKU01308_2EK"/>
    <x v="0"/>
    <x v="0"/>
    <x v="1"/>
    <x v="4"/>
    <x v="1"/>
    <x v="1"/>
    <x v="90"/>
    <x v="1"/>
    <x v="4"/>
    <x v="0"/>
    <n v="19840"/>
  </r>
  <r>
    <s v="CSKU01309_2EK"/>
    <x v="0"/>
    <x v="0"/>
    <x v="1"/>
    <x v="4"/>
    <x v="1"/>
    <x v="2"/>
    <x v="90"/>
    <x v="1"/>
    <x v="5"/>
    <x v="0"/>
    <n v="21880"/>
  </r>
  <r>
    <s v="CSKU01310_2EK"/>
    <x v="0"/>
    <x v="0"/>
    <x v="1"/>
    <x v="4"/>
    <x v="3"/>
    <x v="1"/>
    <x v="90"/>
    <x v="1"/>
    <x v="4"/>
    <x v="0"/>
    <n v="21470"/>
  </r>
  <r>
    <s v="CSKU01311_2EK"/>
    <x v="0"/>
    <x v="0"/>
    <x v="1"/>
    <x v="4"/>
    <x v="3"/>
    <x v="2"/>
    <x v="90"/>
    <x v="1"/>
    <x v="5"/>
    <x v="0"/>
    <n v="23830"/>
  </r>
  <r>
    <s v="CSKU01312_2EK"/>
    <x v="0"/>
    <x v="0"/>
    <x v="1"/>
    <x v="6"/>
    <x v="1"/>
    <x v="1"/>
    <x v="90"/>
    <x v="1"/>
    <x v="4"/>
    <x v="0"/>
    <n v="22780"/>
  </r>
  <r>
    <s v="CSKU01313_2EK"/>
    <x v="0"/>
    <x v="0"/>
    <x v="1"/>
    <x v="6"/>
    <x v="1"/>
    <x v="2"/>
    <x v="90"/>
    <x v="1"/>
    <x v="5"/>
    <x v="0"/>
    <n v="25030"/>
  </r>
  <r>
    <s v="CSKU01314_2EK"/>
    <x v="0"/>
    <x v="0"/>
    <x v="1"/>
    <x v="6"/>
    <x v="3"/>
    <x v="1"/>
    <x v="90"/>
    <x v="1"/>
    <x v="4"/>
    <x v="0"/>
    <n v="24190"/>
  </r>
  <r>
    <s v="CSKU01476_2EK"/>
    <x v="0"/>
    <x v="0"/>
    <x v="0"/>
    <x v="4"/>
    <x v="1"/>
    <x v="1"/>
    <x v="96"/>
    <x v="0"/>
    <x v="4"/>
    <x v="0"/>
    <n v="20860"/>
  </r>
  <r>
    <s v="CSKU01477_2EK"/>
    <x v="0"/>
    <x v="0"/>
    <x v="0"/>
    <x v="4"/>
    <x v="1"/>
    <x v="2"/>
    <x v="96"/>
    <x v="0"/>
    <x v="5"/>
    <x v="0"/>
    <n v="23140"/>
  </r>
  <r>
    <s v="CSKU01478_2EK"/>
    <x v="0"/>
    <x v="0"/>
    <x v="0"/>
    <x v="4"/>
    <x v="3"/>
    <x v="1"/>
    <x v="96"/>
    <x v="0"/>
    <x v="4"/>
    <x v="0"/>
    <n v="22570"/>
  </r>
  <r>
    <s v="CSKU01479_2EK"/>
    <x v="0"/>
    <x v="0"/>
    <x v="0"/>
    <x v="4"/>
    <x v="3"/>
    <x v="2"/>
    <x v="96"/>
    <x v="0"/>
    <x v="5"/>
    <x v="0"/>
    <n v="25190"/>
  </r>
  <r>
    <s v="CSKU01480_2EK"/>
    <x v="0"/>
    <x v="0"/>
    <x v="0"/>
    <x v="6"/>
    <x v="1"/>
    <x v="1"/>
    <x v="96"/>
    <x v="0"/>
    <x v="4"/>
    <x v="0"/>
    <n v="23870"/>
  </r>
  <r>
    <s v="CSKU01481_2EK"/>
    <x v="0"/>
    <x v="0"/>
    <x v="0"/>
    <x v="6"/>
    <x v="1"/>
    <x v="2"/>
    <x v="96"/>
    <x v="0"/>
    <x v="5"/>
    <x v="0"/>
    <n v="26390"/>
  </r>
  <r>
    <s v="CSKU01482_2EK"/>
    <x v="0"/>
    <x v="0"/>
    <x v="0"/>
    <x v="6"/>
    <x v="3"/>
    <x v="1"/>
    <x v="96"/>
    <x v="0"/>
    <x v="4"/>
    <x v="0"/>
    <n v="25300"/>
  </r>
  <r>
    <s v="CSKU01483_2EK"/>
    <x v="0"/>
    <x v="0"/>
    <x v="0"/>
    <x v="6"/>
    <x v="3"/>
    <x v="2"/>
    <x v="96"/>
    <x v="0"/>
    <x v="5"/>
    <x v="0"/>
    <n v="28760"/>
  </r>
  <r>
    <s v="CSKU01584_2EK"/>
    <x v="0"/>
    <x v="0"/>
    <x v="1"/>
    <x v="6"/>
    <x v="3"/>
    <x v="1"/>
    <x v="29"/>
    <x v="1"/>
    <x v="4"/>
    <x v="0"/>
    <n v="24190"/>
  </r>
  <r>
    <s v="CSKU01585_2EK"/>
    <x v="0"/>
    <x v="0"/>
    <x v="1"/>
    <x v="6"/>
    <x v="3"/>
    <x v="2"/>
    <x v="29"/>
    <x v="1"/>
    <x v="5"/>
    <x v="0"/>
    <n v="27270"/>
  </r>
  <r>
    <s v="CSKU01586_2EK"/>
    <x v="0"/>
    <x v="0"/>
    <x v="1"/>
    <x v="5"/>
    <x v="1"/>
    <x v="1"/>
    <x v="29"/>
    <x v="1"/>
    <x v="4"/>
    <x v="0"/>
    <n v="25020"/>
  </r>
  <r>
    <s v="CSKU01587_2EK"/>
    <x v="0"/>
    <x v="0"/>
    <x v="1"/>
    <x v="5"/>
    <x v="1"/>
    <x v="2"/>
    <x v="29"/>
    <x v="1"/>
    <x v="5"/>
    <x v="0"/>
    <n v="27450"/>
  </r>
  <r>
    <s v="CSKU01588_2EK"/>
    <x v="0"/>
    <x v="0"/>
    <x v="1"/>
    <x v="5"/>
    <x v="3"/>
    <x v="1"/>
    <x v="29"/>
    <x v="1"/>
    <x v="4"/>
    <x v="0"/>
    <n v="26610"/>
  </r>
  <r>
    <s v="CSKU01589_2EK"/>
    <x v="0"/>
    <x v="0"/>
    <x v="1"/>
    <x v="5"/>
    <x v="3"/>
    <x v="2"/>
    <x v="29"/>
    <x v="1"/>
    <x v="5"/>
    <x v="0"/>
    <n v="29880"/>
  </r>
  <r>
    <s v="CSKU01838_2EK"/>
    <x v="0"/>
    <x v="0"/>
    <x v="0"/>
    <x v="4"/>
    <x v="3"/>
    <x v="1"/>
    <x v="89"/>
    <x v="0"/>
    <x v="4"/>
    <x v="0"/>
    <n v="22570"/>
  </r>
  <r>
    <s v="CSKU01839_2EK"/>
    <x v="0"/>
    <x v="0"/>
    <x v="0"/>
    <x v="4"/>
    <x v="3"/>
    <x v="2"/>
    <x v="89"/>
    <x v="0"/>
    <x v="5"/>
    <x v="0"/>
    <n v="25190"/>
  </r>
  <r>
    <s v="CSKU01840_2EK"/>
    <x v="0"/>
    <x v="0"/>
    <x v="0"/>
    <x v="6"/>
    <x v="1"/>
    <x v="1"/>
    <x v="89"/>
    <x v="0"/>
    <x v="4"/>
    <x v="0"/>
    <n v="23870"/>
  </r>
  <r>
    <s v="CSKU01841_2EK"/>
    <x v="0"/>
    <x v="0"/>
    <x v="0"/>
    <x v="6"/>
    <x v="1"/>
    <x v="2"/>
    <x v="89"/>
    <x v="0"/>
    <x v="5"/>
    <x v="0"/>
    <n v="26390"/>
  </r>
  <r>
    <s v="CSKU01842_2EK"/>
    <x v="0"/>
    <x v="0"/>
    <x v="0"/>
    <x v="6"/>
    <x v="3"/>
    <x v="1"/>
    <x v="89"/>
    <x v="0"/>
    <x v="4"/>
    <x v="0"/>
    <n v="25300"/>
  </r>
  <r>
    <s v="CSKU01843_2EK"/>
    <x v="0"/>
    <x v="0"/>
    <x v="0"/>
    <x v="6"/>
    <x v="3"/>
    <x v="2"/>
    <x v="89"/>
    <x v="0"/>
    <x v="5"/>
    <x v="0"/>
    <n v="28760"/>
  </r>
  <r>
    <s v="CSKU01844_2EK"/>
    <x v="0"/>
    <x v="0"/>
    <x v="0"/>
    <x v="5"/>
    <x v="1"/>
    <x v="1"/>
    <x v="89"/>
    <x v="0"/>
    <x v="4"/>
    <x v="0"/>
    <n v="26180"/>
  </r>
  <r>
    <s v="CSKU01845_2EK"/>
    <x v="0"/>
    <x v="0"/>
    <x v="0"/>
    <x v="5"/>
    <x v="1"/>
    <x v="2"/>
    <x v="89"/>
    <x v="0"/>
    <x v="5"/>
    <x v="0"/>
    <n v="28890"/>
  </r>
  <r>
    <s v="CSKU01846_2EK"/>
    <x v="0"/>
    <x v="0"/>
    <x v="0"/>
    <x v="5"/>
    <x v="3"/>
    <x v="1"/>
    <x v="89"/>
    <x v="0"/>
    <x v="4"/>
    <x v="0"/>
    <n v="27800"/>
  </r>
  <r>
    <s v="CSKU01847_2EK"/>
    <x v="0"/>
    <x v="0"/>
    <x v="0"/>
    <x v="5"/>
    <x v="3"/>
    <x v="2"/>
    <x v="89"/>
    <x v="0"/>
    <x v="5"/>
    <x v="0"/>
    <n v="31430"/>
  </r>
  <r>
    <s v="CSKU01848_2EK"/>
    <x v="0"/>
    <x v="0"/>
    <x v="1"/>
    <x v="4"/>
    <x v="1"/>
    <x v="1"/>
    <x v="89"/>
    <x v="1"/>
    <x v="4"/>
    <x v="0"/>
    <n v="19840"/>
  </r>
  <r>
    <s v="CSKU01849_2EK"/>
    <x v="0"/>
    <x v="0"/>
    <x v="1"/>
    <x v="4"/>
    <x v="1"/>
    <x v="2"/>
    <x v="89"/>
    <x v="1"/>
    <x v="5"/>
    <x v="0"/>
    <n v="21880"/>
  </r>
  <r>
    <s v="CSKU02199_2EK"/>
    <x v="0"/>
    <x v="0"/>
    <x v="0"/>
    <x v="4"/>
    <x v="3"/>
    <x v="2"/>
    <x v="91"/>
    <x v="0"/>
    <x v="5"/>
    <x v="0"/>
    <n v="25190"/>
  </r>
  <r>
    <s v="CSKU02200_2EK"/>
    <x v="0"/>
    <x v="0"/>
    <x v="0"/>
    <x v="6"/>
    <x v="1"/>
    <x v="1"/>
    <x v="91"/>
    <x v="0"/>
    <x v="4"/>
    <x v="0"/>
    <n v="23870"/>
  </r>
  <r>
    <s v="CSKU02201_2EK"/>
    <x v="0"/>
    <x v="0"/>
    <x v="0"/>
    <x v="6"/>
    <x v="1"/>
    <x v="2"/>
    <x v="91"/>
    <x v="0"/>
    <x v="5"/>
    <x v="0"/>
    <n v="26390"/>
  </r>
  <r>
    <s v="CSKU02202_2EK"/>
    <x v="0"/>
    <x v="0"/>
    <x v="0"/>
    <x v="6"/>
    <x v="3"/>
    <x v="1"/>
    <x v="91"/>
    <x v="0"/>
    <x v="4"/>
    <x v="0"/>
    <n v="25300"/>
  </r>
  <r>
    <s v="CSKU02203_2EK"/>
    <x v="0"/>
    <x v="0"/>
    <x v="0"/>
    <x v="6"/>
    <x v="3"/>
    <x v="2"/>
    <x v="91"/>
    <x v="0"/>
    <x v="5"/>
    <x v="0"/>
    <n v="28760"/>
  </r>
  <r>
    <s v="CSKU02204_2EK"/>
    <x v="0"/>
    <x v="0"/>
    <x v="0"/>
    <x v="5"/>
    <x v="1"/>
    <x v="1"/>
    <x v="91"/>
    <x v="0"/>
    <x v="4"/>
    <x v="0"/>
    <n v="26180"/>
  </r>
  <r>
    <s v="CSKU02205_2EK"/>
    <x v="0"/>
    <x v="0"/>
    <x v="0"/>
    <x v="5"/>
    <x v="1"/>
    <x v="2"/>
    <x v="91"/>
    <x v="0"/>
    <x v="5"/>
    <x v="0"/>
    <n v="28890"/>
  </r>
  <r>
    <s v="CSKU02206_2EK"/>
    <x v="0"/>
    <x v="0"/>
    <x v="0"/>
    <x v="5"/>
    <x v="3"/>
    <x v="1"/>
    <x v="91"/>
    <x v="0"/>
    <x v="4"/>
    <x v="0"/>
    <n v="27800"/>
  </r>
  <r>
    <s v="CSKU02207_2EK"/>
    <x v="0"/>
    <x v="0"/>
    <x v="0"/>
    <x v="5"/>
    <x v="3"/>
    <x v="2"/>
    <x v="91"/>
    <x v="0"/>
    <x v="5"/>
    <x v="0"/>
    <n v="31430"/>
  </r>
  <r>
    <s v="CSKU02208_2EK"/>
    <x v="0"/>
    <x v="0"/>
    <x v="1"/>
    <x v="4"/>
    <x v="1"/>
    <x v="1"/>
    <x v="91"/>
    <x v="1"/>
    <x v="4"/>
    <x v="0"/>
    <n v="19840"/>
  </r>
  <r>
    <s v="CSKU02209_2EK"/>
    <x v="0"/>
    <x v="0"/>
    <x v="1"/>
    <x v="4"/>
    <x v="1"/>
    <x v="2"/>
    <x v="91"/>
    <x v="1"/>
    <x v="5"/>
    <x v="0"/>
    <n v="21880"/>
  </r>
  <r>
    <s v="CSKU02210_2EK"/>
    <x v="0"/>
    <x v="0"/>
    <x v="1"/>
    <x v="4"/>
    <x v="3"/>
    <x v="1"/>
    <x v="91"/>
    <x v="1"/>
    <x v="4"/>
    <x v="0"/>
    <n v="21470"/>
  </r>
  <r>
    <s v="CSKU04648_3EK"/>
    <x v="0"/>
    <x v="1"/>
    <x v="1"/>
    <x v="2"/>
    <x v="3"/>
    <x v="2"/>
    <x v="18"/>
    <x v="1"/>
    <x v="7"/>
    <x v="0"/>
    <n v="44020"/>
  </r>
  <r>
    <s v="CSKU00403_2EK"/>
    <x v="0"/>
    <x v="0"/>
    <x v="0"/>
    <x v="6"/>
    <x v="3"/>
    <x v="2"/>
    <x v="93"/>
    <x v="0"/>
    <x v="5"/>
    <x v="0"/>
    <n v="28760"/>
  </r>
  <r>
    <s v="CSKU00404_2EK"/>
    <x v="0"/>
    <x v="0"/>
    <x v="0"/>
    <x v="5"/>
    <x v="1"/>
    <x v="1"/>
    <x v="93"/>
    <x v="0"/>
    <x v="4"/>
    <x v="0"/>
    <n v="26180"/>
  </r>
  <r>
    <s v="CSKU00405_2EK"/>
    <x v="0"/>
    <x v="0"/>
    <x v="0"/>
    <x v="5"/>
    <x v="1"/>
    <x v="2"/>
    <x v="93"/>
    <x v="0"/>
    <x v="5"/>
    <x v="0"/>
    <n v="28890"/>
  </r>
  <r>
    <s v="CSKU00406_2EK"/>
    <x v="0"/>
    <x v="0"/>
    <x v="0"/>
    <x v="5"/>
    <x v="3"/>
    <x v="1"/>
    <x v="93"/>
    <x v="0"/>
    <x v="4"/>
    <x v="0"/>
    <n v="27800"/>
  </r>
  <r>
    <s v="CSKU00407_2EK"/>
    <x v="0"/>
    <x v="0"/>
    <x v="0"/>
    <x v="5"/>
    <x v="3"/>
    <x v="2"/>
    <x v="93"/>
    <x v="0"/>
    <x v="5"/>
    <x v="0"/>
    <n v="31430"/>
  </r>
  <r>
    <s v="CSKU00408_2EK"/>
    <x v="0"/>
    <x v="0"/>
    <x v="1"/>
    <x v="4"/>
    <x v="1"/>
    <x v="1"/>
    <x v="93"/>
    <x v="1"/>
    <x v="4"/>
    <x v="0"/>
    <n v="19840"/>
  </r>
  <r>
    <s v="CSKU00409_2EK"/>
    <x v="0"/>
    <x v="0"/>
    <x v="1"/>
    <x v="4"/>
    <x v="1"/>
    <x v="2"/>
    <x v="93"/>
    <x v="1"/>
    <x v="5"/>
    <x v="0"/>
    <n v="21880"/>
  </r>
  <r>
    <s v="CSKU00410_2EK"/>
    <x v="0"/>
    <x v="0"/>
    <x v="1"/>
    <x v="4"/>
    <x v="3"/>
    <x v="1"/>
    <x v="93"/>
    <x v="1"/>
    <x v="4"/>
    <x v="0"/>
    <n v="21470"/>
  </r>
  <r>
    <s v="CSKU00411_2EK"/>
    <x v="0"/>
    <x v="0"/>
    <x v="1"/>
    <x v="4"/>
    <x v="3"/>
    <x v="2"/>
    <x v="93"/>
    <x v="1"/>
    <x v="5"/>
    <x v="0"/>
    <n v="23830"/>
  </r>
  <r>
    <s v="CSKU00412_2EK"/>
    <x v="0"/>
    <x v="0"/>
    <x v="1"/>
    <x v="6"/>
    <x v="1"/>
    <x v="1"/>
    <x v="93"/>
    <x v="1"/>
    <x v="4"/>
    <x v="0"/>
    <n v="22780"/>
  </r>
  <r>
    <s v="CSKU00413_2EK"/>
    <x v="0"/>
    <x v="0"/>
    <x v="1"/>
    <x v="6"/>
    <x v="1"/>
    <x v="2"/>
    <x v="93"/>
    <x v="1"/>
    <x v="5"/>
    <x v="0"/>
    <n v="25030"/>
  </r>
  <r>
    <s v="CSKU00585_2EK"/>
    <x v="0"/>
    <x v="0"/>
    <x v="0"/>
    <x v="5"/>
    <x v="1"/>
    <x v="2"/>
    <x v="92"/>
    <x v="0"/>
    <x v="5"/>
    <x v="0"/>
    <n v="28890"/>
  </r>
  <r>
    <s v="CSKU00586_2EK"/>
    <x v="0"/>
    <x v="0"/>
    <x v="0"/>
    <x v="5"/>
    <x v="3"/>
    <x v="1"/>
    <x v="92"/>
    <x v="0"/>
    <x v="4"/>
    <x v="0"/>
    <n v="27800"/>
  </r>
  <r>
    <s v="CSKU00587_2EK"/>
    <x v="0"/>
    <x v="0"/>
    <x v="0"/>
    <x v="5"/>
    <x v="3"/>
    <x v="2"/>
    <x v="92"/>
    <x v="0"/>
    <x v="5"/>
    <x v="0"/>
    <n v="31430"/>
  </r>
  <r>
    <s v="CSKU00588_2EK"/>
    <x v="0"/>
    <x v="0"/>
    <x v="1"/>
    <x v="4"/>
    <x v="1"/>
    <x v="1"/>
    <x v="92"/>
    <x v="1"/>
    <x v="4"/>
    <x v="0"/>
    <n v="19840"/>
  </r>
  <r>
    <s v="CSKU00589_2EK"/>
    <x v="0"/>
    <x v="0"/>
    <x v="1"/>
    <x v="4"/>
    <x v="1"/>
    <x v="2"/>
    <x v="92"/>
    <x v="1"/>
    <x v="5"/>
    <x v="0"/>
    <n v="21880"/>
  </r>
  <r>
    <s v="CSKU00590_2EK"/>
    <x v="0"/>
    <x v="0"/>
    <x v="1"/>
    <x v="4"/>
    <x v="3"/>
    <x v="1"/>
    <x v="92"/>
    <x v="1"/>
    <x v="4"/>
    <x v="0"/>
    <n v="21470"/>
  </r>
  <r>
    <s v="CSKU00591_2EK"/>
    <x v="0"/>
    <x v="0"/>
    <x v="1"/>
    <x v="4"/>
    <x v="3"/>
    <x v="2"/>
    <x v="92"/>
    <x v="1"/>
    <x v="5"/>
    <x v="0"/>
    <n v="23830"/>
  </r>
  <r>
    <s v="CSKU00592_2EK"/>
    <x v="0"/>
    <x v="0"/>
    <x v="1"/>
    <x v="6"/>
    <x v="1"/>
    <x v="1"/>
    <x v="92"/>
    <x v="1"/>
    <x v="4"/>
    <x v="0"/>
    <n v="22780"/>
  </r>
  <r>
    <s v="CSKU00593_2EK"/>
    <x v="0"/>
    <x v="0"/>
    <x v="1"/>
    <x v="6"/>
    <x v="1"/>
    <x v="2"/>
    <x v="92"/>
    <x v="1"/>
    <x v="5"/>
    <x v="0"/>
    <n v="25030"/>
  </r>
  <r>
    <s v="CSKU00594_2EK"/>
    <x v="0"/>
    <x v="0"/>
    <x v="1"/>
    <x v="6"/>
    <x v="3"/>
    <x v="1"/>
    <x v="92"/>
    <x v="1"/>
    <x v="4"/>
    <x v="0"/>
    <n v="24190"/>
  </r>
  <r>
    <s v="CSKU00595_2EK"/>
    <x v="0"/>
    <x v="0"/>
    <x v="1"/>
    <x v="6"/>
    <x v="3"/>
    <x v="2"/>
    <x v="92"/>
    <x v="1"/>
    <x v="5"/>
    <x v="0"/>
    <n v="27270"/>
  </r>
  <r>
    <s v="CSKU00944_2EK"/>
    <x v="0"/>
    <x v="0"/>
    <x v="0"/>
    <x v="5"/>
    <x v="1"/>
    <x v="1"/>
    <x v="87"/>
    <x v="0"/>
    <x v="4"/>
    <x v="0"/>
    <n v="26180"/>
  </r>
  <r>
    <s v="CSKU00945_2EK"/>
    <x v="0"/>
    <x v="0"/>
    <x v="0"/>
    <x v="5"/>
    <x v="1"/>
    <x v="2"/>
    <x v="87"/>
    <x v="0"/>
    <x v="5"/>
    <x v="0"/>
    <n v="28890"/>
  </r>
  <r>
    <s v="CSKU00946_2EK"/>
    <x v="0"/>
    <x v="0"/>
    <x v="0"/>
    <x v="5"/>
    <x v="3"/>
    <x v="1"/>
    <x v="87"/>
    <x v="0"/>
    <x v="4"/>
    <x v="0"/>
    <n v="27800"/>
  </r>
  <r>
    <s v="CSKU00947_2EK"/>
    <x v="0"/>
    <x v="0"/>
    <x v="0"/>
    <x v="5"/>
    <x v="3"/>
    <x v="2"/>
    <x v="87"/>
    <x v="0"/>
    <x v="5"/>
    <x v="0"/>
    <n v="31430"/>
  </r>
  <r>
    <s v="CSKU00948_2EK"/>
    <x v="0"/>
    <x v="0"/>
    <x v="1"/>
    <x v="4"/>
    <x v="1"/>
    <x v="1"/>
    <x v="87"/>
    <x v="1"/>
    <x v="4"/>
    <x v="0"/>
    <n v="19840"/>
  </r>
  <r>
    <s v="CSKU00949_2EK"/>
    <x v="0"/>
    <x v="0"/>
    <x v="1"/>
    <x v="4"/>
    <x v="1"/>
    <x v="2"/>
    <x v="87"/>
    <x v="1"/>
    <x v="5"/>
    <x v="0"/>
    <n v="21880"/>
  </r>
  <r>
    <s v="CSKU00950_2EK"/>
    <x v="0"/>
    <x v="0"/>
    <x v="1"/>
    <x v="4"/>
    <x v="3"/>
    <x v="1"/>
    <x v="87"/>
    <x v="1"/>
    <x v="4"/>
    <x v="0"/>
    <n v="21470"/>
  </r>
  <r>
    <s v="CSKU00951_2EK"/>
    <x v="0"/>
    <x v="0"/>
    <x v="1"/>
    <x v="4"/>
    <x v="3"/>
    <x v="2"/>
    <x v="87"/>
    <x v="1"/>
    <x v="5"/>
    <x v="0"/>
    <n v="23830"/>
  </r>
  <r>
    <s v="CSKU00952_2EK"/>
    <x v="0"/>
    <x v="0"/>
    <x v="1"/>
    <x v="6"/>
    <x v="1"/>
    <x v="1"/>
    <x v="87"/>
    <x v="1"/>
    <x v="4"/>
    <x v="0"/>
    <n v="22780"/>
  </r>
  <r>
    <s v="CSKU00953_2EK"/>
    <x v="0"/>
    <x v="0"/>
    <x v="1"/>
    <x v="6"/>
    <x v="1"/>
    <x v="2"/>
    <x v="87"/>
    <x v="1"/>
    <x v="5"/>
    <x v="0"/>
    <n v="25030"/>
  </r>
  <r>
    <s v="CSKU00954_2EK"/>
    <x v="0"/>
    <x v="0"/>
    <x v="1"/>
    <x v="6"/>
    <x v="3"/>
    <x v="1"/>
    <x v="87"/>
    <x v="1"/>
    <x v="4"/>
    <x v="0"/>
    <n v="24190"/>
  </r>
  <r>
    <m/>
    <x v="0"/>
    <x v="1"/>
    <x v="0"/>
    <x v="0"/>
    <x v="2"/>
    <x v="5"/>
    <x v="48"/>
    <x v="0"/>
    <x v="3"/>
    <x v="0"/>
    <n v="38870"/>
  </r>
  <r>
    <m/>
    <x v="0"/>
    <x v="1"/>
    <x v="0"/>
    <x v="0"/>
    <x v="0"/>
    <x v="3"/>
    <x v="49"/>
    <x v="0"/>
    <x v="2"/>
    <x v="0"/>
    <n v="32250"/>
  </r>
  <r>
    <m/>
    <x v="0"/>
    <x v="1"/>
    <x v="0"/>
    <x v="0"/>
    <x v="0"/>
    <x v="3"/>
    <x v="50"/>
    <x v="0"/>
    <x v="2"/>
    <x v="0"/>
    <n v="32250"/>
  </r>
  <r>
    <m/>
    <x v="0"/>
    <x v="1"/>
    <x v="0"/>
    <x v="0"/>
    <x v="0"/>
    <x v="3"/>
    <x v="51"/>
    <x v="0"/>
    <x v="2"/>
    <x v="0"/>
    <n v="32250"/>
  </r>
  <r>
    <m/>
    <x v="0"/>
    <x v="1"/>
    <x v="0"/>
    <x v="0"/>
    <x v="0"/>
    <x v="3"/>
    <x v="52"/>
    <x v="0"/>
    <x v="2"/>
    <x v="0"/>
    <n v="32250"/>
  </r>
  <r>
    <m/>
    <x v="0"/>
    <x v="1"/>
    <x v="0"/>
    <x v="0"/>
    <x v="0"/>
    <x v="3"/>
    <x v="53"/>
    <x v="0"/>
    <x v="2"/>
    <x v="0"/>
    <n v="32250"/>
  </r>
  <r>
    <m/>
    <x v="0"/>
    <x v="1"/>
    <x v="0"/>
    <x v="0"/>
    <x v="0"/>
    <x v="3"/>
    <x v="6"/>
    <x v="0"/>
    <x v="2"/>
    <x v="0"/>
    <n v="32250"/>
  </r>
  <r>
    <m/>
    <x v="0"/>
    <x v="1"/>
    <x v="0"/>
    <x v="0"/>
    <x v="0"/>
    <x v="3"/>
    <x v="37"/>
    <x v="0"/>
    <x v="2"/>
    <x v="0"/>
    <n v="32250"/>
  </r>
  <r>
    <m/>
    <x v="0"/>
    <x v="1"/>
    <x v="0"/>
    <x v="0"/>
    <x v="0"/>
    <x v="3"/>
    <x v="38"/>
    <x v="0"/>
    <x v="2"/>
    <x v="0"/>
    <n v="32250"/>
  </r>
  <r>
    <m/>
    <x v="0"/>
    <x v="1"/>
    <x v="0"/>
    <x v="0"/>
    <x v="0"/>
    <x v="3"/>
    <x v="39"/>
    <x v="0"/>
    <x v="2"/>
    <x v="0"/>
    <n v="32250"/>
  </r>
  <r>
    <m/>
    <x v="0"/>
    <x v="1"/>
    <x v="0"/>
    <x v="0"/>
    <x v="0"/>
    <x v="3"/>
    <x v="40"/>
    <x v="0"/>
    <x v="2"/>
    <x v="0"/>
    <n v="32250"/>
  </r>
  <r>
    <m/>
    <x v="0"/>
    <x v="1"/>
    <x v="0"/>
    <x v="0"/>
    <x v="0"/>
    <x v="3"/>
    <x v="41"/>
    <x v="0"/>
    <x v="2"/>
    <x v="0"/>
    <n v="32250"/>
  </r>
  <r>
    <m/>
    <x v="0"/>
    <x v="1"/>
    <x v="0"/>
    <x v="0"/>
    <x v="0"/>
    <x v="3"/>
    <x v="42"/>
    <x v="0"/>
    <x v="2"/>
    <x v="0"/>
    <n v="32250"/>
  </r>
  <r>
    <m/>
    <x v="0"/>
    <x v="1"/>
    <x v="0"/>
    <x v="2"/>
    <x v="0"/>
    <x v="4"/>
    <x v="42"/>
    <x v="0"/>
    <x v="2"/>
    <x v="0"/>
    <n v="40630"/>
  </r>
  <r>
    <m/>
    <x v="0"/>
    <x v="1"/>
    <x v="0"/>
    <x v="2"/>
    <x v="0"/>
    <x v="4"/>
    <x v="43"/>
    <x v="0"/>
    <x v="2"/>
    <x v="0"/>
    <n v="40630"/>
  </r>
  <r>
    <m/>
    <x v="0"/>
    <x v="1"/>
    <x v="0"/>
    <x v="2"/>
    <x v="0"/>
    <x v="4"/>
    <x v="44"/>
    <x v="0"/>
    <x v="2"/>
    <x v="0"/>
    <n v="40630"/>
  </r>
  <r>
    <m/>
    <x v="0"/>
    <x v="1"/>
    <x v="0"/>
    <x v="2"/>
    <x v="0"/>
    <x v="4"/>
    <x v="45"/>
    <x v="0"/>
    <x v="2"/>
    <x v="0"/>
    <n v="40630"/>
  </r>
  <r>
    <m/>
    <x v="0"/>
    <x v="1"/>
    <x v="0"/>
    <x v="2"/>
    <x v="0"/>
    <x v="4"/>
    <x v="46"/>
    <x v="0"/>
    <x v="2"/>
    <x v="0"/>
    <n v="40630"/>
  </r>
  <r>
    <m/>
    <x v="0"/>
    <x v="1"/>
    <x v="0"/>
    <x v="2"/>
    <x v="0"/>
    <x v="4"/>
    <x v="4"/>
    <x v="0"/>
    <x v="2"/>
    <x v="0"/>
    <n v="40630"/>
  </r>
  <r>
    <m/>
    <x v="0"/>
    <x v="1"/>
    <x v="0"/>
    <x v="2"/>
    <x v="0"/>
    <x v="4"/>
    <x v="47"/>
    <x v="0"/>
    <x v="2"/>
    <x v="0"/>
    <n v="40630"/>
  </r>
  <r>
    <m/>
    <x v="0"/>
    <x v="1"/>
    <x v="0"/>
    <x v="2"/>
    <x v="0"/>
    <x v="4"/>
    <x v="48"/>
    <x v="0"/>
    <x v="2"/>
    <x v="0"/>
    <n v="40630"/>
  </r>
  <r>
    <m/>
    <x v="0"/>
    <x v="1"/>
    <x v="0"/>
    <x v="2"/>
    <x v="0"/>
    <x v="5"/>
    <x v="49"/>
    <x v="0"/>
    <x v="2"/>
    <x v="0"/>
    <n v="46040"/>
  </r>
  <r>
    <m/>
    <x v="0"/>
    <x v="1"/>
    <x v="0"/>
    <x v="2"/>
    <x v="0"/>
    <x v="5"/>
    <x v="50"/>
    <x v="0"/>
    <x v="2"/>
    <x v="0"/>
    <n v="46040"/>
  </r>
  <r>
    <m/>
    <x v="0"/>
    <x v="1"/>
    <x v="0"/>
    <x v="2"/>
    <x v="0"/>
    <x v="5"/>
    <x v="51"/>
    <x v="0"/>
    <x v="2"/>
    <x v="0"/>
    <n v="46040"/>
  </r>
  <r>
    <m/>
    <x v="0"/>
    <x v="1"/>
    <x v="0"/>
    <x v="2"/>
    <x v="0"/>
    <x v="5"/>
    <x v="52"/>
    <x v="0"/>
    <x v="2"/>
    <x v="0"/>
    <n v="46040"/>
  </r>
  <r>
    <m/>
    <x v="0"/>
    <x v="1"/>
    <x v="0"/>
    <x v="2"/>
    <x v="0"/>
    <x v="5"/>
    <x v="53"/>
    <x v="0"/>
    <x v="2"/>
    <x v="0"/>
    <n v="46040"/>
  </r>
  <r>
    <m/>
    <x v="0"/>
    <x v="1"/>
    <x v="0"/>
    <x v="2"/>
    <x v="0"/>
    <x v="5"/>
    <x v="6"/>
    <x v="0"/>
    <x v="2"/>
    <x v="0"/>
    <n v="46040"/>
  </r>
  <r>
    <m/>
    <x v="0"/>
    <x v="1"/>
    <x v="1"/>
    <x v="0"/>
    <x v="2"/>
    <x v="5"/>
    <x v="39"/>
    <x v="1"/>
    <x v="3"/>
    <x v="0"/>
    <n v="37390"/>
  </r>
  <r>
    <m/>
    <x v="0"/>
    <x v="1"/>
    <x v="1"/>
    <x v="0"/>
    <x v="2"/>
    <x v="5"/>
    <x v="40"/>
    <x v="1"/>
    <x v="3"/>
    <x v="0"/>
    <n v="37390"/>
  </r>
  <r>
    <m/>
    <x v="0"/>
    <x v="1"/>
    <x v="1"/>
    <x v="0"/>
    <x v="2"/>
    <x v="5"/>
    <x v="41"/>
    <x v="1"/>
    <x v="3"/>
    <x v="0"/>
    <n v="37390"/>
  </r>
  <r>
    <m/>
    <x v="0"/>
    <x v="1"/>
    <x v="1"/>
    <x v="0"/>
    <x v="2"/>
    <x v="5"/>
    <x v="42"/>
    <x v="1"/>
    <x v="3"/>
    <x v="0"/>
    <n v="37390"/>
  </r>
  <r>
    <m/>
    <x v="0"/>
    <x v="1"/>
    <x v="1"/>
    <x v="0"/>
    <x v="2"/>
    <x v="5"/>
    <x v="43"/>
    <x v="1"/>
    <x v="3"/>
    <x v="0"/>
    <n v="37390"/>
  </r>
  <r>
    <m/>
    <x v="0"/>
    <x v="1"/>
    <x v="1"/>
    <x v="0"/>
    <x v="2"/>
    <x v="5"/>
    <x v="44"/>
    <x v="1"/>
    <x v="3"/>
    <x v="0"/>
    <n v="37390"/>
  </r>
  <r>
    <m/>
    <x v="0"/>
    <x v="1"/>
    <x v="1"/>
    <x v="0"/>
    <x v="2"/>
    <x v="5"/>
    <x v="45"/>
    <x v="1"/>
    <x v="3"/>
    <x v="0"/>
    <n v="37390"/>
  </r>
  <r>
    <m/>
    <x v="0"/>
    <x v="1"/>
    <x v="1"/>
    <x v="0"/>
    <x v="2"/>
    <x v="5"/>
    <x v="46"/>
    <x v="1"/>
    <x v="3"/>
    <x v="0"/>
    <n v="37390"/>
  </r>
  <r>
    <m/>
    <x v="0"/>
    <x v="1"/>
    <x v="1"/>
    <x v="0"/>
    <x v="2"/>
    <x v="5"/>
    <x v="4"/>
    <x v="1"/>
    <x v="3"/>
    <x v="0"/>
    <n v="37390"/>
  </r>
  <r>
    <m/>
    <x v="0"/>
    <x v="1"/>
    <x v="1"/>
    <x v="0"/>
    <x v="2"/>
    <x v="5"/>
    <x v="47"/>
    <x v="1"/>
    <x v="3"/>
    <x v="0"/>
    <n v="37390"/>
  </r>
  <r>
    <m/>
    <x v="0"/>
    <x v="1"/>
    <x v="1"/>
    <x v="0"/>
    <x v="2"/>
    <x v="5"/>
    <x v="48"/>
    <x v="1"/>
    <x v="3"/>
    <x v="0"/>
    <n v="37390"/>
  </r>
  <r>
    <m/>
    <x v="0"/>
    <x v="1"/>
    <x v="1"/>
    <x v="0"/>
    <x v="0"/>
    <x v="3"/>
    <x v="49"/>
    <x v="1"/>
    <x v="2"/>
    <x v="0"/>
    <n v="30600"/>
  </r>
  <r>
    <m/>
    <x v="0"/>
    <x v="1"/>
    <x v="1"/>
    <x v="0"/>
    <x v="0"/>
    <x v="3"/>
    <x v="50"/>
    <x v="1"/>
    <x v="2"/>
    <x v="0"/>
    <n v="30600"/>
  </r>
  <r>
    <m/>
    <x v="0"/>
    <x v="1"/>
    <x v="1"/>
    <x v="0"/>
    <x v="0"/>
    <x v="3"/>
    <x v="51"/>
    <x v="1"/>
    <x v="2"/>
    <x v="0"/>
    <n v="30600"/>
  </r>
  <r>
    <m/>
    <x v="0"/>
    <x v="1"/>
    <x v="1"/>
    <x v="2"/>
    <x v="0"/>
    <x v="4"/>
    <x v="50"/>
    <x v="1"/>
    <x v="2"/>
    <x v="0"/>
    <n v="38730"/>
  </r>
  <r>
    <m/>
    <x v="0"/>
    <x v="1"/>
    <x v="1"/>
    <x v="2"/>
    <x v="0"/>
    <x v="4"/>
    <x v="51"/>
    <x v="1"/>
    <x v="2"/>
    <x v="0"/>
    <n v="38730"/>
  </r>
  <r>
    <m/>
    <x v="0"/>
    <x v="1"/>
    <x v="1"/>
    <x v="2"/>
    <x v="0"/>
    <x v="4"/>
    <x v="52"/>
    <x v="1"/>
    <x v="2"/>
    <x v="0"/>
    <n v="38730"/>
  </r>
  <r>
    <m/>
    <x v="0"/>
    <x v="1"/>
    <x v="1"/>
    <x v="2"/>
    <x v="0"/>
    <x v="4"/>
    <x v="53"/>
    <x v="1"/>
    <x v="2"/>
    <x v="0"/>
    <n v="38730"/>
  </r>
  <r>
    <m/>
    <x v="0"/>
    <x v="1"/>
    <x v="1"/>
    <x v="2"/>
    <x v="0"/>
    <x v="4"/>
    <x v="6"/>
    <x v="1"/>
    <x v="2"/>
    <x v="0"/>
    <n v="38730"/>
  </r>
  <r>
    <m/>
    <x v="0"/>
    <x v="1"/>
    <x v="1"/>
    <x v="2"/>
    <x v="0"/>
    <x v="4"/>
    <x v="37"/>
    <x v="1"/>
    <x v="2"/>
    <x v="0"/>
    <n v="38730"/>
  </r>
  <r>
    <m/>
    <x v="0"/>
    <x v="1"/>
    <x v="1"/>
    <x v="2"/>
    <x v="0"/>
    <x v="4"/>
    <x v="38"/>
    <x v="1"/>
    <x v="2"/>
    <x v="0"/>
    <n v="38730"/>
  </r>
  <r>
    <m/>
    <x v="0"/>
    <x v="1"/>
    <x v="1"/>
    <x v="2"/>
    <x v="0"/>
    <x v="4"/>
    <x v="39"/>
    <x v="1"/>
    <x v="2"/>
    <x v="0"/>
    <n v="38730"/>
  </r>
  <r>
    <m/>
    <x v="0"/>
    <x v="1"/>
    <x v="1"/>
    <x v="2"/>
    <x v="0"/>
    <x v="4"/>
    <x v="40"/>
    <x v="1"/>
    <x v="2"/>
    <x v="0"/>
    <n v="38730"/>
  </r>
  <r>
    <m/>
    <x v="0"/>
    <x v="1"/>
    <x v="1"/>
    <x v="2"/>
    <x v="0"/>
    <x v="4"/>
    <x v="41"/>
    <x v="1"/>
    <x v="2"/>
    <x v="0"/>
    <n v="38730"/>
  </r>
  <r>
    <m/>
    <x v="0"/>
    <x v="1"/>
    <x v="1"/>
    <x v="2"/>
    <x v="0"/>
    <x v="4"/>
    <x v="42"/>
    <x v="1"/>
    <x v="2"/>
    <x v="0"/>
    <n v="38730"/>
  </r>
  <r>
    <m/>
    <x v="0"/>
    <x v="1"/>
    <x v="1"/>
    <x v="2"/>
    <x v="0"/>
    <x v="4"/>
    <x v="43"/>
    <x v="1"/>
    <x v="2"/>
    <x v="0"/>
    <n v="38730"/>
  </r>
  <r>
    <m/>
    <x v="0"/>
    <x v="1"/>
    <x v="1"/>
    <x v="2"/>
    <x v="0"/>
    <x v="4"/>
    <x v="44"/>
    <x v="1"/>
    <x v="2"/>
    <x v="0"/>
    <n v="38730"/>
  </r>
  <r>
    <m/>
    <x v="0"/>
    <x v="1"/>
    <x v="1"/>
    <x v="2"/>
    <x v="0"/>
    <x v="4"/>
    <x v="45"/>
    <x v="1"/>
    <x v="2"/>
    <x v="0"/>
    <n v="38730"/>
  </r>
  <r>
    <m/>
    <x v="0"/>
    <x v="0"/>
    <x v="0"/>
    <x v="4"/>
    <x v="1"/>
    <x v="1"/>
    <x v="97"/>
    <x v="0"/>
    <x v="1"/>
    <x v="0"/>
    <n v="16660"/>
  </r>
  <r>
    <m/>
    <x v="0"/>
    <x v="0"/>
    <x v="0"/>
    <x v="4"/>
    <x v="1"/>
    <x v="1"/>
    <x v="98"/>
    <x v="0"/>
    <x v="1"/>
    <x v="0"/>
    <n v="17180"/>
  </r>
  <r>
    <m/>
    <x v="0"/>
    <x v="0"/>
    <x v="0"/>
    <x v="4"/>
    <x v="1"/>
    <x v="2"/>
    <x v="94"/>
    <x v="0"/>
    <x v="0"/>
    <x v="0"/>
    <n v="19980"/>
  </r>
  <r>
    <m/>
    <x v="0"/>
    <x v="0"/>
    <x v="0"/>
    <x v="4"/>
    <x v="1"/>
    <x v="2"/>
    <x v="97"/>
    <x v="0"/>
    <x v="0"/>
    <x v="0"/>
    <n v="18940"/>
  </r>
  <r>
    <m/>
    <x v="0"/>
    <x v="0"/>
    <x v="0"/>
    <x v="4"/>
    <x v="1"/>
    <x v="2"/>
    <x v="98"/>
    <x v="0"/>
    <x v="0"/>
    <x v="0"/>
    <n v="19460"/>
  </r>
  <r>
    <m/>
    <x v="0"/>
    <x v="0"/>
    <x v="0"/>
    <x v="4"/>
    <x v="1"/>
    <x v="2"/>
    <x v="99"/>
    <x v="0"/>
    <x v="10"/>
    <x v="0"/>
    <n v="18100"/>
  </r>
  <r>
    <m/>
    <x v="0"/>
    <x v="0"/>
    <x v="0"/>
    <x v="4"/>
    <x v="1"/>
    <x v="2"/>
    <x v="100"/>
    <x v="0"/>
    <x v="10"/>
    <x v="0"/>
    <n v="17060"/>
  </r>
  <r>
    <m/>
    <x v="0"/>
    <x v="0"/>
    <x v="0"/>
    <x v="4"/>
    <x v="1"/>
    <x v="2"/>
    <x v="101"/>
    <x v="0"/>
    <x v="10"/>
    <x v="0"/>
    <n v="17580"/>
  </r>
  <r>
    <m/>
    <x v="0"/>
    <x v="0"/>
    <x v="0"/>
    <x v="4"/>
    <x v="3"/>
    <x v="1"/>
    <x v="94"/>
    <x v="0"/>
    <x v="1"/>
    <x v="0"/>
    <n v="19260"/>
  </r>
  <r>
    <m/>
    <x v="0"/>
    <x v="0"/>
    <x v="0"/>
    <x v="4"/>
    <x v="3"/>
    <x v="1"/>
    <x v="97"/>
    <x v="0"/>
    <x v="1"/>
    <x v="0"/>
    <n v="18000"/>
  </r>
  <r>
    <m/>
    <x v="0"/>
    <x v="0"/>
    <x v="0"/>
    <x v="4"/>
    <x v="3"/>
    <x v="1"/>
    <x v="98"/>
    <x v="0"/>
    <x v="1"/>
    <x v="0"/>
    <n v="18630"/>
  </r>
  <r>
    <m/>
    <x v="0"/>
    <x v="0"/>
    <x v="0"/>
    <x v="4"/>
    <x v="3"/>
    <x v="2"/>
    <x v="94"/>
    <x v="0"/>
    <x v="0"/>
    <x v="0"/>
    <n v="21880"/>
  </r>
  <r>
    <m/>
    <x v="0"/>
    <x v="0"/>
    <x v="0"/>
    <x v="4"/>
    <x v="3"/>
    <x v="2"/>
    <x v="97"/>
    <x v="0"/>
    <x v="0"/>
    <x v="0"/>
    <n v="20620"/>
  </r>
  <r>
    <m/>
    <x v="0"/>
    <x v="0"/>
    <x v="0"/>
    <x v="4"/>
    <x v="3"/>
    <x v="2"/>
    <x v="98"/>
    <x v="0"/>
    <x v="0"/>
    <x v="0"/>
    <n v="21250"/>
  </r>
  <r>
    <m/>
    <x v="0"/>
    <x v="0"/>
    <x v="0"/>
    <x v="0"/>
    <x v="2"/>
    <x v="6"/>
    <x v="64"/>
    <x v="0"/>
    <x v="1"/>
    <x v="0"/>
    <n v="20860"/>
  </r>
  <r>
    <m/>
    <x v="0"/>
    <x v="0"/>
    <x v="0"/>
    <x v="0"/>
    <x v="2"/>
    <x v="6"/>
    <x v="65"/>
    <x v="0"/>
    <x v="1"/>
    <x v="0"/>
    <n v="20860"/>
  </r>
  <r>
    <m/>
    <x v="0"/>
    <x v="0"/>
    <x v="0"/>
    <x v="0"/>
    <x v="2"/>
    <x v="6"/>
    <x v="66"/>
    <x v="0"/>
    <x v="1"/>
    <x v="0"/>
    <n v="20860"/>
  </r>
  <r>
    <m/>
    <x v="0"/>
    <x v="0"/>
    <x v="0"/>
    <x v="0"/>
    <x v="2"/>
    <x v="6"/>
    <x v="67"/>
    <x v="0"/>
    <x v="1"/>
    <x v="0"/>
    <n v="20860"/>
  </r>
  <r>
    <m/>
    <x v="0"/>
    <x v="0"/>
    <x v="0"/>
    <x v="0"/>
    <x v="2"/>
    <x v="6"/>
    <x v="68"/>
    <x v="0"/>
    <x v="1"/>
    <x v="0"/>
    <n v="20860"/>
  </r>
  <r>
    <m/>
    <x v="0"/>
    <x v="0"/>
    <x v="0"/>
    <x v="0"/>
    <x v="2"/>
    <x v="6"/>
    <x v="69"/>
    <x v="0"/>
    <x v="1"/>
    <x v="0"/>
    <n v="20860"/>
  </r>
  <r>
    <m/>
    <x v="0"/>
    <x v="0"/>
    <x v="0"/>
    <x v="0"/>
    <x v="2"/>
    <x v="6"/>
    <x v="70"/>
    <x v="0"/>
    <x v="1"/>
    <x v="0"/>
    <n v="20860"/>
  </r>
  <r>
    <m/>
    <x v="0"/>
    <x v="0"/>
    <x v="0"/>
    <x v="0"/>
    <x v="2"/>
    <x v="6"/>
    <x v="2"/>
    <x v="0"/>
    <x v="1"/>
    <x v="0"/>
    <n v="20860"/>
  </r>
  <r>
    <m/>
    <x v="0"/>
    <x v="0"/>
    <x v="0"/>
    <x v="0"/>
    <x v="2"/>
    <x v="6"/>
    <x v="71"/>
    <x v="0"/>
    <x v="1"/>
    <x v="0"/>
    <n v="20860"/>
  </r>
  <r>
    <m/>
    <x v="0"/>
    <x v="0"/>
    <x v="0"/>
    <x v="0"/>
    <x v="2"/>
    <x v="6"/>
    <x v="72"/>
    <x v="0"/>
    <x v="1"/>
    <x v="0"/>
    <n v="20860"/>
  </r>
  <r>
    <m/>
    <x v="0"/>
    <x v="0"/>
    <x v="0"/>
    <x v="0"/>
    <x v="2"/>
    <x v="0"/>
    <x v="0"/>
    <x v="0"/>
    <x v="1"/>
    <x v="0"/>
    <n v="23870"/>
  </r>
  <r>
    <m/>
    <x v="0"/>
    <x v="0"/>
    <x v="0"/>
    <x v="0"/>
    <x v="2"/>
    <x v="0"/>
    <x v="56"/>
    <x v="0"/>
    <x v="1"/>
    <x v="0"/>
    <n v="23870"/>
  </r>
  <r>
    <m/>
    <x v="0"/>
    <x v="0"/>
    <x v="0"/>
    <x v="0"/>
    <x v="2"/>
    <x v="0"/>
    <x v="57"/>
    <x v="0"/>
    <x v="1"/>
    <x v="0"/>
    <n v="23870"/>
  </r>
  <r>
    <m/>
    <x v="0"/>
    <x v="0"/>
    <x v="0"/>
    <x v="0"/>
    <x v="2"/>
    <x v="0"/>
    <x v="58"/>
    <x v="0"/>
    <x v="1"/>
    <x v="0"/>
    <n v="23870"/>
  </r>
  <r>
    <m/>
    <x v="0"/>
    <x v="0"/>
    <x v="0"/>
    <x v="0"/>
    <x v="2"/>
    <x v="0"/>
    <x v="59"/>
    <x v="0"/>
    <x v="1"/>
    <x v="0"/>
    <n v="23870"/>
  </r>
  <r>
    <m/>
    <x v="0"/>
    <x v="0"/>
    <x v="0"/>
    <x v="2"/>
    <x v="0"/>
    <x v="7"/>
    <x v="56"/>
    <x v="0"/>
    <x v="0"/>
    <x v="0"/>
    <n v="31430"/>
  </r>
  <r>
    <m/>
    <x v="0"/>
    <x v="0"/>
    <x v="0"/>
    <x v="2"/>
    <x v="0"/>
    <x v="7"/>
    <x v="57"/>
    <x v="0"/>
    <x v="0"/>
    <x v="0"/>
    <n v="31430"/>
  </r>
  <r>
    <m/>
    <x v="0"/>
    <x v="0"/>
    <x v="0"/>
    <x v="2"/>
    <x v="0"/>
    <x v="7"/>
    <x v="58"/>
    <x v="0"/>
    <x v="0"/>
    <x v="0"/>
    <n v="31430"/>
  </r>
  <r>
    <m/>
    <x v="0"/>
    <x v="0"/>
    <x v="0"/>
    <x v="2"/>
    <x v="0"/>
    <x v="7"/>
    <x v="59"/>
    <x v="0"/>
    <x v="0"/>
    <x v="0"/>
    <n v="31430"/>
  </r>
  <r>
    <m/>
    <x v="0"/>
    <x v="0"/>
    <x v="0"/>
    <x v="2"/>
    <x v="0"/>
    <x v="7"/>
    <x v="60"/>
    <x v="0"/>
    <x v="0"/>
    <x v="0"/>
    <n v="31430"/>
  </r>
  <r>
    <m/>
    <x v="0"/>
    <x v="0"/>
    <x v="0"/>
    <x v="2"/>
    <x v="0"/>
    <x v="7"/>
    <x v="61"/>
    <x v="0"/>
    <x v="0"/>
    <x v="0"/>
    <n v="31430"/>
  </r>
  <r>
    <m/>
    <x v="0"/>
    <x v="0"/>
    <x v="0"/>
    <x v="2"/>
    <x v="0"/>
    <x v="7"/>
    <x v="62"/>
    <x v="0"/>
    <x v="0"/>
    <x v="0"/>
    <n v="31430"/>
  </r>
  <r>
    <m/>
    <x v="0"/>
    <x v="0"/>
    <x v="0"/>
    <x v="2"/>
    <x v="0"/>
    <x v="7"/>
    <x v="63"/>
    <x v="0"/>
    <x v="0"/>
    <x v="0"/>
    <n v="31430"/>
  </r>
  <r>
    <m/>
    <x v="0"/>
    <x v="0"/>
    <x v="0"/>
    <x v="2"/>
    <x v="0"/>
    <x v="7"/>
    <x v="64"/>
    <x v="0"/>
    <x v="0"/>
    <x v="0"/>
    <n v="31430"/>
  </r>
  <r>
    <m/>
    <x v="0"/>
    <x v="0"/>
    <x v="0"/>
    <x v="2"/>
    <x v="0"/>
    <x v="7"/>
    <x v="65"/>
    <x v="0"/>
    <x v="0"/>
    <x v="0"/>
    <n v="31430"/>
  </r>
  <r>
    <m/>
    <x v="0"/>
    <x v="0"/>
    <x v="0"/>
    <x v="2"/>
    <x v="0"/>
    <x v="7"/>
    <x v="66"/>
    <x v="0"/>
    <x v="0"/>
    <x v="0"/>
    <n v="31430"/>
  </r>
  <r>
    <m/>
    <x v="0"/>
    <x v="0"/>
    <x v="0"/>
    <x v="2"/>
    <x v="0"/>
    <x v="7"/>
    <x v="67"/>
    <x v="0"/>
    <x v="0"/>
    <x v="0"/>
    <n v="31430"/>
  </r>
  <r>
    <m/>
    <x v="0"/>
    <x v="0"/>
    <x v="0"/>
    <x v="2"/>
    <x v="0"/>
    <x v="7"/>
    <x v="68"/>
    <x v="0"/>
    <x v="0"/>
    <x v="0"/>
    <n v="31430"/>
  </r>
  <r>
    <m/>
    <x v="0"/>
    <x v="0"/>
    <x v="0"/>
    <x v="2"/>
    <x v="0"/>
    <x v="7"/>
    <x v="69"/>
    <x v="0"/>
    <x v="0"/>
    <x v="0"/>
    <n v="31430"/>
  </r>
  <r>
    <m/>
    <x v="0"/>
    <x v="0"/>
    <x v="0"/>
    <x v="2"/>
    <x v="0"/>
    <x v="7"/>
    <x v="70"/>
    <x v="0"/>
    <x v="0"/>
    <x v="0"/>
    <n v="31430"/>
  </r>
  <r>
    <m/>
    <x v="0"/>
    <x v="0"/>
    <x v="0"/>
    <x v="2"/>
    <x v="0"/>
    <x v="7"/>
    <x v="2"/>
    <x v="0"/>
    <x v="0"/>
    <x v="0"/>
    <n v="31430"/>
  </r>
  <r>
    <m/>
    <x v="0"/>
    <x v="0"/>
    <x v="0"/>
    <x v="2"/>
    <x v="0"/>
    <x v="7"/>
    <x v="71"/>
    <x v="0"/>
    <x v="0"/>
    <x v="0"/>
    <n v="31430"/>
  </r>
  <r>
    <m/>
    <x v="0"/>
    <x v="0"/>
    <x v="0"/>
    <x v="2"/>
    <x v="0"/>
    <x v="7"/>
    <x v="72"/>
    <x v="0"/>
    <x v="0"/>
    <x v="0"/>
    <n v="31430"/>
  </r>
  <r>
    <m/>
    <x v="0"/>
    <x v="0"/>
    <x v="1"/>
    <x v="0"/>
    <x v="0"/>
    <x v="0"/>
    <x v="56"/>
    <x v="1"/>
    <x v="0"/>
    <x v="0"/>
    <n v="25030"/>
  </r>
  <r>
    <m/>
    <x v="0"/>
    <x v="0"/>
    <x v="1"/>
    <x v="0"/>
    <x v="0"/>
    <x v="0"/>
    <x v="57"/>
    <x v="1"/>
    <x v="0"/>
    <x v="0"/>
    <n v="25030"/>
  </r>
  <r>
    <m/>
    <x v="0"/>
    <x v="0"/>
    <x v="1"/>
    <x v="0"/>
    <x v="0"/>
    <x v="0"/>
    <x v="58"/>
    <x v="1"/>
    <x v="0"/>
    <x v="0"/>
    <n v="25030"/>
  </r>
  <r>
    <m/>
    <x v="0"/>
    <x v="0"/>
    <x v="1"/>
    <x v="0"/>
    <x v="0"/>
    <x v="0"/>
    <x v="59"/>
    <x v="1"/>
    <x v="0"/>
    <x v="0"/>
    <n v="25030"/>
  </r>
  <r>
    <m/>
    <x v="0"/>
    <x v="0"/>
    <x v="1"/>
    <x v="0"/>
    <x v="0"/>
    <x v="0"/>
    <x v="60"/>
    <x v="1"/>
    <x v="0"/>
    <x v="0"/>
    <n v="25030"/>
  </r>
  <r>
    <m/>
    <x v="0"/>
    <x v="0"/>
    <x v="1"/>
    <x v="0"/>
    <x v="0"/>
    <x v="0"/>
    <x v="61"/>
    <x v="1"/>
    <x v="0"/>
    <x v="0"/>
    <n v="25030"/>
  </r>
  <r>
    <m/>
    <x v="0"/>
    <x v="0"/>
    <x v="1"/>
    <x v="0"/>
    <x v="0"/>
    <x v="0"/>
    <x v="62"/>
    <x v="1"/>
    <x v="0"/>
    <x v="0"/>
    <n v="25030"/>
  </r>
  <r>
    <m/>
    <x v="0"/>
    <x v="0"/>
    <x v="1"/>
    <x v="0"/>
    <x v="0"/>
    <x v="0"/>
    <x v="63"/>
    <x v="1"/>
    <x v="0"/>
    <x v="0"/>
    <n v="25030"/>
  </r>
  <r>
    <m/>
    <x v="0"/>
    <x v="0"/>
    <x v="1"/>
    <x v="0"/>
    <x v="0"/>
    <x v="0"/>
    <x v="64"/>
    <x v="1"/>
    <x v="0"/>
    <x v="0"/>
    <n v="25030"/>
  </r>
  <r>
    <m/>
    <x v="0"/>
    <x v="0"/>
    <x v="1"/>
    <x v="0"/>
    <x v="0"/>
    <x v="0"/>
    <x v="65"/>
    <x v="1"/>
    <x v="0"/>
    <x v="0"/>
    <n v="25030"/>
  </r>
  <r>
    <m/>
    <x v="0"/>
    <x v="0"/>
    <x v="1"/>
    <x v="0"/>
    <x v="0"/>
    <x v="0"/>
    <x v="66"/>
    <x v="1"/>
    <x v="0"/>
    <x v="0"/>
    <n v="25030"/>
  </r>
  <r>
    <m/>
    <x v="0"/>
    <x v="0"/>
    <x v="1"/>
    <x v="0"/>
    <x v="0"/>
    <x v="0"/>
    <x v="67"/>
    <x v="1"/>
    <x v="0"/>
    <x v="0"/>
    <n v="25030"/>
  </r>
  <r>
    <m/>
    <x v="0"/>
    <x v="0"/>
    <x v="1"/>
    <x v="0"/>
    <x v="0"/>
    <x v="0"/>
    <x v="68"/>
    <x v="1"/>
    <x v="0"/>
    <x v="0"/>
    <n v="25030"/>
  </r>
  <r>
    <m/>
    <x v="0"/>
    <x v="0"/>
    <x v="1"/>
    <x v="0"/>
    <x v="0"/>
    <x v="0"/>
    <x v="69"/>
    <x v="1"/>
    <x v="0"/>
    <x v="0"/>
    <n v="25030"/>
  </r>
  <r>
    <m/>
    <x v="0"/>
    <x v="0"/>
    <x v="1"/>
    <x v="0"/>
    <x v="0"/>
    <x v="0"/>
    <x v="70"/>
    <x v="1"/>
    <x v="0"/>
    <x v="0"/>
    <n v="25030"/>
  </r>
  <r>
    <m/>
    <x v="0"/>
    <x v="0"/>
    <x v="0"/>
    <x v="6"/>
    <x v="1"/>
    <x v="1"/>
    <x v="94"/>
    <x v="0"/>
    <x v="1"/>
    <x v="0"/>
    <n v="19800"/>
  </r>
  <r>
    <m/>
    <x v="0"/>
    <x v="0"/>
    <x v="0"/>
    <x v="0"/>
    <x v="2"/>
    <x v="0"/>
    <x v="60"/>
    <x v="0"/>
    <x v="1"/>
    <x v="0"/>
    <n v="23870"/>
  </r>
  <r>
    <m/>
    <x v="0"/>
    <x v="0"/>
    <x v="1"/>
    <x v="7"/>
    <x v="4"/>
    <x v="1"/>
    <x v="102"/>
    <x v="1"/>
    <x v="8"/>
    <x v="0"/>
    <n v="9660"/>
  </r>
  <r>
    <m/>
    <x v="0"/>
    <x v="0"/>
    <x v="1"/>
    <x v="0"/>
    <x v="0"/>
    <x v="0"/>
    <x v="2"/>
    <x v="1"/>
    <x v="0"/>
    <x v="0"/>
    <n v="25030"/>
  </r>
  <r>
    <m/>
    <x v="0"/>
    <x v="1"/>
    <x v="0"/>
    <x v="0"/>
    <x v="0"/>
    <x v="3"/>
    <x v="43"/>
    <x v="0"/>
    <x v="2"/>
    <x v="0"/>
    <n v="32250"/>
  </r>
  <r>
    <m/>
    <x v="0"/>
    <x v="1"/>
    <x v="0"/>
    <x v="2"/>
    <x v="0"/>
    <x v="5"/>
    <x v="37"/>
    <x v="0"/>
    <x v="2"/>
    <x v="0"/>
    <n v="46040"/>
  </r>
  <r>
    <m/>
    <x v="0"/>
    <x v="1"/>
    <x v="1"/>
    <x v="0"/>
    <x v="0"/>
    <x v="3"/>
    <x v="52"/>
    <x v="1"/>
    <x v="2"/>
    <x v="0"/>
    <n v="30600"/>
  </r>
  <r>
    <m/>
    <x v="0"/>
    <x v="1"/>
    <x v="1"/>
    <x v="2"/>
    <x v="0"/>
    <x v="4"/>
    <x v="46"/>
    <x v="1"/>
    <x v="2"/>
    <x v="0"/>
    <n v="38730"/>
  </r>
  <r>
    <s v="CSKU00414_2EK"/>
    <x v="0"/>
    <x v="0"/>
    <x v="1"/>
    <x v="6"/>
    <x v="3"/>
    <x v="1"/>
    <x v="93"/>
    <x v="1"/>
    <x v="4"/>
    <x v="0"/>
    <n v="24190"/>
  </r>
  <r>
    <s v="CSKU00596_2EK"/>
    <x v="0"/>
    <x v="0"/>
    <x v="1"/>
    <x v="5"/>
    <x v="1"/>
    <x v="1"/>
    <x v="92"/>
    <x v="1"/>
    <x v="4"/>
    <x v="0"/>
    <n v="25020"/>
  </r>
  <r>
    <s v="CSKU00955_2EK"/>
    <x v="0"/>
    <x v="0"/>
    <x v="1"/>
    <x v="6"/>
    <x v="3"/>
    <x v="2"/>
    <x v="87"/>
    <x v="1"/>
    <x v="5"/>
    <x v="0"/>
    <n v="27270"/>
  </r>
  <r>
    <s v="CSKU01315_2EK"/>
    <x v="0"/>
    <x v="0"/>
    <x v="1"/>
    <x v="6"/>
    <x v="3"/>
    <x v="2"/>
    <x v="90"/>
    <x v="1"/>
    <x v="5"/>
    <x v="0"/>
    <n v="27270"/>
  </r>
  <r>
    <s v="CSKU01484_2EK"/>
    <x v="0"/>
    <x v="0"/>
    <x v="0"/>
    <x v="5"/>
    <x v="1"/>
    <x v="1"/>
    <x v="96"/>
    <x v="0"/>
    <x v="4"/>
    <x v="0"/>
    <n v="26180"/>
  </r>
  <r>
    <s v="CSKU01850_2EK"/>
    <x v="0"/>
    <x v="0"/>
    <x v="1"/>
    <x v="4"/>
    <x v="3"/>
    <x v="1"/>
    <x v="89"/>
    <x v="1"/>
    <x v="4"/>
    <x v="0"/>
    <n v="21470"/>
  </r>
  <r>
    <s v="CSKU02211_2EK"/>
    <x v="0"/>
    <x v="0"/>
    <x v="1"/>
    <x v="4"/>
    <x v="3"/>
    <x v="2"/>
    <x v="91"/>
    <x v="1"/>
    <x v="5"/>
    <x v="0"/>
    <n v="23830"/>
  </r>
  <r>
    <s v="CSKU03287_3EK"/>
    <x v="0"/>
    <x v="1"/>
    <x v="1"/>
    <x v="1"/>
    <x v="1"/>
    <x v="1"/>
    <x v="95"/>
    <x v="1"/>
    <x v="6"/>
    <x v="0"/>
    <n v="27730"/>
  </r>
  <r>
    <s v="CSKU03648_3EK"/>
    <x v="0"/>
    <x v="1"/>
    <x v="1"/>
    <x v="1"/>
    <x v="1"/>
    <x v="2"/>
    <x v="86"/>
    <x v="1"/>
    <x v="7"/>
    <x v="0"/>
    <n v="30600"/>
  </r>
  <r>
    <s v="CSKU04014_3EK"/>
    <x v="0"/>
    <x v="1"/>
    <x v="1"/>
    <x v="3"/>
    <x v="3"/>
    <x v="2"/>
    <x v="88"/>
    <x v="1"/>
    <x v="7"/>
    <x v="0"/>
    <n v="38730"/>
  </r>
  <r>
    <s v="CSKU04553_3EK"/>
    <x v="0"/>
    <x v="1"/>
    <x v="1"/>
    <x v="3"/>
    <x v="3"/>
    <x v="1"/>
    <x v="84"/>
    <x v="1"/>
    <x v="6"/>
    <x v="0"/>
    <n v="34740"/>
  </r>
  <r>
    <s v="CSKU04554_3EK"/>
    <x v="0"/>
    <x v="1"/>
    <x v="1"/>
    <x v="3"/>
    <x v="3"/>
    <x v="2"/>
    <x v="84"/>
    <x v="1"/>
    <x v="7"/>
    <x v="0"/>
    <n v="38730"/>
  </r>
  <r>
    <s v="CSKU04555_3EK"/>
    <x v="0"/>
    <x v="1"/>
    <x v="1"/>
    <x v="2"/>
    <x v="1"/>
    <x v="1"/>
    <x v="84"/>
    <x v="1"/>
    <x v="6"/>
    <x v="0"/>
    <n v="37390"/>
  </r>
  <r>
    <s v="CSKU04556_3EK"/>
    <x v="0"/>
    <x v="1"/>
    <x v="1"/>
    <x v="2"/>
    <x v="1"/>
    <x v="2"/>
    <x v="84"/>
    <x v="1"/>
    <x v="7"/>
    <x v="0"/>
    <n v="40400"/>
  </r>
  <r>
    <s v="CSKU04557_3EK"/>
    <x v="0"/>
    <x v="1"/>
    <x v="1"/>
    <x v="2"/>
    <x v="3"/>
    <x v="1"/>
    <x v="84"/>
    <x v="1"/>
    <x v="6"/>
    <x v="0"/>
    <n v="39890"/>
  </r>
  <r>
    <s v="CSKU04558_3EK"/>
    <x v="0"/>
    <x v="1"/>
    <x v="1"/>
    <x v="2"/>
    <x v="3"/>
    <x v="2"/>
    <x v="84"/>
    <x v="1"/>
    <x v="7"/>
    <x v="0"/>
    <n v="44020"/>
  </r>
  <r>
    <s v="CSKU02645_3EK"/>
    <x v="0"/>
    <x v="1"/>
    <x v="0"/>
    <x v="1"/>
    <x v="1"/>
    <x v="1"/>
    <x v="103"/>
    <x v="0"/>
    <x v="6"/>
    <x v="0"/>
    <n v="23360"/>
  </r>
  <r>
    <s v="CSKU02646_3EK"/>
    <x v="0"/>
    <x v="1"/>
    <x v="0"/>
    <x v="1"/>
    <x v="1"/>
    <x v="2"/>
    <x v="103"/>
    <x v="0"/>
    <x v="7"/>
    <x v="0"/>
    <n v="26560"/>
  </r>
  <r>
    <s v="CSKU02647_3EK"/>
    <x v="0"/>
    <x v="1"/>
    <x v="0"/>
    <x v="1"/>
    <x v="3"/>
    <x v="1"/>
    <x v="103"/>
    <x v="0"/>
    <x v="6"/>
    <x v="0"/>
    <n v="24830"/>
  </r>
  <r>
    <s v="CSKU03288_3EK"/>
    <x v="0"/>
    <x v="1"/>
    <x v="1"/>
    <x v="1"/>
    <x v="1"/>
    <x v="2"/>
    <x v="95"/>
    <x v="1"/>
    <x v="7"/>
    <x v="0"/>
    <n v="30600"/>
  </r>
  <r>
    <s v="CSKU03289_3EK"/>
    <x v="0"/>
    <x v="1"/>
    <x v="1"/>
    <x v="1"/>
    <x v="3"/>
    <x v="1"/>
    <x v="95"/>
    <x v="1"/>
    <x v="6"/>
    <x v="0"/>
    <n v="29550"/>
  </r>
  <r>
    <s v="CSKU03290_3EK"/>
    <x v="0"/>
    <x v="1"/>
    <x v="1"/>
    <x v="1"/>
    <x v="3"/>
    <x v="2"/>
    <x v="95"/>
    <x v="1"/>
    <x v="7"/>
    <x v="0"/>
    <n v="33320"/>
  </r>
  <r>
    <s v="CSKU03291_3EK"/>
    <x v="0"/>
    <x v="1"/>
    <x v="1"/>
    <x v="3"/>
    <x v="1"/>
    <x v="1"/>
    <x v="95"/>
    <x v="1"/>
    <x v="6"/>
    <x v="0"/>
    <n v="32560"/>
  </r>
  <r>
    <s v="CSKU03292_3EK"/>
    <x v="0"/>
    <x v="1"/>
    <x v="1"/>
    <x v="3"/>
    <x v="1"/>
    <x v="2"/>
    <x v="95"/>
    <x v="1"/>
    <x v="7"/>
    <x v="0"/>
    <n v="35430"/>
  </r>
  <r>
    <s v="CSKU03293_3EK"/>
    <x v="0"/>
    <x v="1"/>
    <x v="1"/>
    <x v="3"/>
    <x v="3"/>
    <x v="1"/>
    <x v="95"/>
    <x v="1"/>
    <x v="6"/>
    <x v="0"/>
    <n v="34740"/>
  </r>
  <r>
    <s v="CSKU03294_3EK"/>
    <x v="0"/>
    <x v="1"/>
    <x v="1"/>
    <x v="3"/>
    <x v="3"/>
    <x v="2"/>
    <x v="95"/>
    <x v="1"/>
    <x v="7"/>
    <x v="0"/>
    <n v="38730"/>
  </r>
  <r>
    <s v="CSKU03295_3EK"/>
    <x v="0"/>
    <x v="1"/>
    <x v="1"/>
    <x v="2"/>
    <x v="1"/>
    <x v="1"/>
    <x v="95"/>
    <x v="1"/>
    <x v="6"/>
    <x v="0"/>
    <n v="37390"/>
  </r>
  <r>
    <s v="CSKU03296_3EK"/>
    <x v="0"/>
    <x v="1"/>
    <x v="1"/>
    <x v="2"/>
    <x v="1"/>
    <x v="2"/>
    <x v="95"/>
    <x v="1"/>
    <x v="7"/>
    <x v="0"/>
    <n v="40400"/>
  </r>
  <r>
    <s v="CSKU03297_3EK"/>
    <x v="0"/>
    <x v="1"/>
    <x v="1"/>
    <x v="2"/>
    <x v="3"/>
    <x v="1"/>
    <x v="95"/>
    <x v="1"/>
    <x v="6"/>
    <x v="0"/>
    <n v="39890"/>
  </r>
  <r>
    <s v="CSKU03298_3EK"/>
    <x v="0"/>
    <x v="1"/>
    <x v="1"/>
    <x v="2"/>
    <x v="3"/>
    <x v="2"/>
    <x v="95"/>
    <x v="1"/>
    <x v="7"/>
    <x v="0"/>
    <n v="44020"/>
  </r>
  <r>
    <s v="CSKU03545_3EK"/>
    <x v="0"/>
    <x v="1"/>
    <x v="0"/>
    <x v="1"/>
    <x v="1"/>
    <x v="1"/>
    <x v="104"/>
    <x v="0"/>
    <x v="6"/>
    <x v="0"/>
    <n v="29050"/>
  </r>
  <r>
    <s v="CSKU03649_3EK"/>
    <x v="0"/>
    <x v="1"/>
    <x v="1"/>
    <x v="1"/>
    <x v="3"/>
    <x v="1"/>
    <x v="86"/>
    <x v="1"/>
    <x v="6"/>
    <x v="0"/>
    <n v="29550"/>
  </r>
  <r>
    <s v="CSKU03650_3EK"/>
    <x v="0"/>
    <x v="1"/>
    <x v="1"/>
    <x v="1"/>
    <x v="3"/>
    <x v="2"/>
    <x v="86"/>
    <x v="1"/>
    <x v="7"/>
    <x v="0"/>
    <n v="33320"/>
  </r>
  <r>
    <s v="CSKU03651_3EK"/>
    <x v="0"/>
    <x v="1"/>
    <x v="1"/>
    <x v="3"/>
    <x v="1"/>
    <x v="1"/>
    <x v="86"/>
    <x v="1"/>
    <x v="6"/>
    <x v="0"/>
    <n v="32560"/>
  </r>
  <r>
    <s v="CSKU03652_3EK"/>
    <x v="0"/>
    <x v="1"/>
    <x v="1"/>
    <x v="3"/>
    <x v="1"/>
    <x v="2"/>
    <x v="86"/>
    <x v="1"/>
    <x v="7"/>
    <x v="0"/>
    <n v="35430"/>
  </r>
  <r>
    <s v="CSKU03653_3EK"/>
    <x v="0"/>
    <x v="1"/>
    <x v="1"/>
    <x v="3"/>
    <x v="3"/>
    <x v="1"/>
    <x v="86"/>
    <x v="1"/>
    <x v="6"/>
    <x v="0"/>
    <n v="34740"/>
  </r>
  <r>
    <s v="CSKU03654_3EK"/>
    <x v="0"/>
    <x v="1"/>
    <x v="1"/>
    <x v="3"/>
    <x v="3"/>
    <x v="2"/>
    <x v="86"/>
    <x v="1"/>
    <x v="7"/>
    <x v="0"/>
    <n v="38730"/>
  </r>
  <r>
    <s v="CSKU03655_3EK"/>
    <x v="0"/>
    <x v="1"/>
    <x v="1"/>
    <x v="2"/>
    <x v="1"/>
    <x v="1"/>
    <x v="86"/>
    <x v="1"/>
    <x v="6"/>
    <x v="0"/>
    <n v="37390"/>
  </r>
  <r>
    <s v="CSKU03656_3EK"/>
    <x v="0"/>
    <x v="1"/>
    <x v="1"/>
    <x v="2"/>
    <x v="1"/>
    <x v="2"/>
    <x v="86"/>
    <x v="1"/>
    <x v="7"/>
    <x v="0"/>
    <n v="40400"/>
  </r>
  <r>
    <s v="CSKU03657_3EK"/>
    <x v="0"/>
    <x v="1"/>
    <x v="1"/>
    <x v="2"/>
    <x v="3"/>
    <x v="1"/>
    <x v="86"/>
    <x v="1"/>
    <x v="6"/>
    <x v="0"/>
    <n v="39890"/>
  </r>
  <r>
    <s v="CSKU03658_3EK"/>
    <x v="0"/>
    <x v="1"/>
    <x v="1"/>
    <x v="2"/>
    <x v="3"/>
    <x v="2"/>
    <x v="86"/>
    <x v="1"/>
    <x v="7"/>
    <x v="0"/>
    <n v="44020"/>
  </r>
  <r>
    <s v="CSKU04015_3EK"/>
    <x v="0"/>
    <x v="1"/>
    <x v="1"/>
    <x v="2"/>
    <x v="1"/>
    <x v="1"/>
    <x v="88"/>
    <x v="1"/>
    <x v="6"/>
    <x v="0"/>
    <n v="37390"/>
  </r>
  <r>
    <s v="CSKU04016_3EK"/>
    <x v="0"/>
    <x v="1"/>
    <x v="1"/>
    <x v="2"/>
    <x v="1"/>
    <x v="2"/>
    <x v="88"/>
    <x v="1"/>
    <x v="7"/>
    <x v="0"/>
    <n v="40400"/>
  </r>
  <r>
    <s v="CSKU04017_3EK"/>
    <x v="0"/>
    <x v="1"/>
    <x v="1"/>
    <x v="2"/>
    <x v="3"/>
    <x v="1"/>
    <x v="88"/>
    <x v="1"/>
    <x v="6"/>
    <x v="0"/>
    <n v="39890"/>
  </r>
  <r>
    <s v="CSKU04018_3EK"/>
    <x v="0"/>
    <x v="1"/>
    <x v="1"/>
    <x v="2"/>
    <x v="3"/>
    <x v="2"/>
    <x v="88"/>
    <x v="1"/>
    <x v="7"/>
    <x v="0"/>
    <n v="44020"/>
  </r>
  <r>
    <s v="CSKU01316_2EK"/>
    <x v="0"/>
    <x v="0"/>
    <x v="1"/>
    <x v="5"/>
    <x v="1"/>
    <x v="1"/>
    <x v="90"/>
    <x v="1"/>
    <x v="4"/>
    <x v="0"/>
    <n v="25020"/>
  </r>
  <r>
    <s v="CSKU01317_2EK"/>
    <x v="0"/>
    <x v="0"/>
    <x v="1"/>
    <x v="5"/>
    <x v="1"/>
    <x v="2"/>
    <x v="90"/>
    <x v="1"/>
    <x v="5"/>
    <x v="0"/>
    <n v="27450"/>
  </r>
  <r>
    <s v="CSKU01318_2EK"/>
    <x v="0"/>
    <x v="0"/>
    <x v="1"/>
    <x v="5"/>
    <x v="3"/>
    <x v="1"/>
    <x v="90"/>
    <x v="1"/>
    <x v="4"/>
    <x v="0"/>
    <n v="26610"/>
  </r>
  <r>
    <s v="CSKU01319_2EK"/>
    <x v="0"/>
    <x v="0"/>
    <x v="1"/>
    <x v="5"/>
    <x v="3"/>
    <x v="2"/>
    <x v="90"/>
    <x v="1"/>
    <x v="5"/>
    <x v="0"/>
    <n v="29880"/>
  </r>
  <r>
    <s v="CSKU01485_2EK"/>
    <x v="0"/>
    <x v="0"/>
    <x v="0"/>
    <x v="5"/>
    <x v="1"/>
    <x v="2"/>
    <x v="96"/>
    <x v="0"/>
    <x v="5"/>
    <x v="0"/>
    <n v="28890"/>
  </r>
  <r>
    <s v="CSKU01486_2EK"/>
    <x v="0"/>
    <x v="0"/>
    <x v="0"/>
    <x v="5"/>
    <x v="3"/>
    <x v="1"/>
    <x v="96"/>
    <x v="0"/>
    <x v="4"/>
    <x v="0"/>
    <n v="27800"/>
  </r>
  <r>
    <s v="CSKU01487_2EK"/>
    <x v="0"/>
    <x v="0"/>
    <x v="0"/>
    <x v="5"/>
    <x v="3"/>
    <x v="2"/>
    <x v="96"/>
    <x v="0"/>
    <x v="5"/>
    <x v="0"/>
    <n v="31430"/>
  </r>
  <r>
    <s v="CSKU01488_2EK"/>
    <x v="0"/>
    <x v="0"/>
    <x v="1"/>
    <x v="4"/>
    <x v="1"/>
    <x v="1"/>
    <x v="96"/>
    <x v="1"/>
    <x v="4"/>
    <x v="0"/>
    <n v="19840"/>
  </r>
  <r>
    <s v="CSKU01489_2EK"/>
    <x v="0"/>
    <x v="0"/>
    <x v="1"/>
    <x v="4"/>
    <x v="1"/>
    <x v="2"/>
    <x v="96"/>
    <x v="1"/>
    <x v="5"/>
    <x v="0"/>
    <n v="21880"/>
  </r>
  <r>
    <s v="CSKU01490_2EK"/>
    <x v="0"/>
    <x v="0"/>
    <x v="1"/>
    <x v="4"/>
    <x v="3"/>
    <x v="1"/>
    <x v="96"/>
    <x v="1"/>
    <x v="4"/>
    <x v="0"/>
    <n v="21470"/>
  </r>
  <r>
    <s v="CSKU01491_2EK"/>
    <x v="0"/>
    <x v="0"/>
    <x v="1"/>
    <x v="4"/>
    <x v="3"/>
    <x v="2"/>
    <x v="96"/>
    <x v="1"/>
    <x v="5"/>
    <x v="0"/>
    <n v="23830"/>
  </r>
  <r>
    <s v="CSKU01492_2EK"/>
    <x v="0"/>
    <x v="0"/>
    <x v="1"/>
    <x v="6"/>
    <x v="1"/>
    <x v="1"/>
    <x v="96"/>
    <x v="1"/>
    <x v="4"/>
    <x v="0"/>
    <n v="22780"/>
  </r>
  <r>
    <s v="CSKU01493_2EK"/>
    <x v="0"/>
    <x v="0"/>
    <x v="1"/>
    <x v="6"/>
    <x v="1"/>
    <x v="2"/>
    <x v="96"/>
    <x v="1"/>
    <x v="5"/>
    <x v="0"/>
    <n v="25030"/>
  </r>
  <r>
    <s v="CSKU01494_2EK"/>
    <x v="0"/>
    <x v="0"/>
    <x v="1"/>
    <x v="6"/>
    <x v="3"/>
    <x v="1"/>
    <x v="96"/>
    <x v="1"/>
    <x v="4"/>
    <x v="0"/>
    <n v="24190"/>
  </r>
  <r>
    <s v="CSKU01851_2EK"/>
    <x v="0"/>
    <x v="0"/>
    <x v="1"/>
    <x v="4"/>
    <x v="3"/>
    <x v="2"/>
    <x v="89"/>
    <x v="1"/>
    <x v="5"/>
    <x v="0"/>
    <n v="23830"/>
  </r>
  <r>
    <s v="CSKU01852_2EK"/>
    <x v="0"/>
    <x v="0"/>
    <x v="1"/>
    <x v="6"/>
    <x v="1"/>
    <x v="1"/>
    <x v="89"/>
    <x v="1"/>
    <x v="4"/>
    <x v="0"/>
    <n v="22780"/>
  </r>
  <r>
    <s v="CSKU01853_2EK"/>
    <x v="0"/>
    <x v="0"/>
    <x v="1"/>
    <x v="6"/>
    <x v="1"/>
    <x v="2"/>
    <x v="89"/>
    <x v="1"/>
    <x v="5"/>
    <x v="0"/>
    <n v="25030"/>
  </r>
  <r>
    <s v="CSKU01854_2EK"/>
    <x v="0"/>
    <x v="0"/>
    <x v="1"/>
    <x v="6"/>
    <x v="3"/>
    <x v="1"/>
    <x v="89"/>
    <x v="1"/>
    <x v="4"/>
    <x v="0"/>
    <n v="24190"/>
  </r>
  <r>
    <s v="CSKU01855_2EK"/>
    <x v="0"/>
    <x v="0"/>
    <x v="1"/>
    <x v="6"/>
    <x v="3"/>
    <x v="2"/>
    <x v="89"/>
    <x v="1"/>
    <x v="5"/>
    <x v="0"/>
    <n v="27270"/>
  </r>
  <r>
    <s v="CSKU01856_2EK"/>
    <x v="0"/>
    <x v="0"/>
    <x v="1"/>
    <x v="5"/>
    <x v="1"/>
    <x v="1"/>
    <x v="89"/>
    <x v="1"/>
    <x v="4"/>
    <x v="0"/>
    <n v="25020"/>
  </r>
  <r>
    <s v="CSKU01857_2EK"/>
    <x v="0"/>
    <x v="0"/>
    <x v="1"/>
    <x v="5"/>
    <x v="1"/>
    <x v="2"/>
    <x v="89"/>
    <x v="1"/>
    <x v="5"/>
    <x v="0"/>
    <n v="27450"/>
  </r>
  <r>
    <s v="CSKU01858_2EK"/>
    <x v="0"/>
    <x v="0"/>
    <x v="1"/>
    <x v="5"/>
    <x v="3"/>
    <x v="1"/>
    <x v="89"/>
    <x v="1"/>
    <x v="4"/>
    <x v="0"/>
    <n v="26610"/>
  </r>
  <r>
    <s v="CSKU01859_2EK"/>
    <x v="0"/>
    <x v="0"/>
    <x v="1"/>
    <x v="5"/>
    <x v="3"/>
    <x v="2"/>
    <x v="89"/>
    <x v="1"/>
    <x v="5"/>
    <x v="0"/>
    <n v="29880"/>
  </r>
  <r>
    <s v="CSKU02212_2EK"/>
    <x v="0"/>
    <x v="0"/>
    <x v="1"/>
    <x v="6"/>
    <x v="1"/>
    <x v="1"/>
    <x v="91"/>
    <x v="1"/>
    <x v="4"/>
    <x v="0"/>
    <n v="22780"/>
  </r>
  <r>
    <s v="CSKU02213_2EK"/>
    <x v="0"/>
    <x v="0"/>
    <x v="1"/>
    <x v="6"/>
    <x v="1"/>
    <x v="2"/>
    <x v="91"/>
    <x v="1"/>
    <x v="5"/>
    <x v="0"/>
    <n v="25030"/>
  </r>
  <r>
    <s v="CSKU02214_2EK"/>
    <x v="0"/>
    <x v="0"/>
    <x v="1"/>
    <x v="6"/>
    <x v="3"/>
    <x v="1"/>
    <x v="91"/>
    <x v="1"/>
    <x v="4"/>
    <x v="0"/>
    <n v="24190"/>
  </r>
  <r>
    <s v="CSKU02215_2EK"/>
    <x v="0"/>
    <x v="0"/>
    <x v="1"/>
    <x v="6"/>
    <x v="3"/>
    <x v="2"/>
    <x v="91"/>
    <x v="1"/>
    <x v="5"/>
    <x v="0"/>
    <n v="27270"/>
  </r>
  <r>
    <s v="CSKU02216_2EK"/>
    <x v="0"/>
    <x v="0"/>
    <x v="1"/>
    <x v="5"/>
    <x v="1"/>
    <x v="1"/>
    <x v="91"/>
    <x v="1"/>
    <x v="4"/>
    <x v="0"/>
    <n v="25020"/>
  </r>
  <r>
    <s v="CSKU02217_2EK"/>
    <x v="0"/>
    <x v="0"/>
    <x v="1"/>
    <x v="5"/>
    <x v="1"/>
    <x v="2"/>
    <x v="91"/>
    <x v="1"/>
    <x v="5"/>
    <x v="0"/>
    <n v="27450"/>
  </r>
  <r>
    <s v="CSKU02218_2EK"/>
    <x v="0"/>
    <x v="0"/>
    <x v="1"/>
    <x v="5"/>
    <x v="3"/>
    <x v="1"/>
    <x v="91"/>
    <x v="1"/>
    <x v="4"/>
    <x v="0"/>
    <n v="26610"/>
  </r>
  <r>
    <s v="CSKU02219_2EK"/>
    <x v="0"/>
    <x v="0"/>
    <x v="1"/>
    <x v="5"/>
    <x v="3"/>
    <x v="2"/>
    <x v="91"/>
    <x v="1"/>
    <x v="5"/>
    <x v="0"/>
    <n v="29880"/>
  </r>
  <r>
    <s v="CSKU04445_3EK"/>
    <x v="0"/>
    <x v="1"/>
    <x v="0"/>
    <x v="1"/>
    <x v="1"/>
    <x v="1"/>
    <x v="105"/>
    <x v="0"/>
    <x v="6"/>
    <x v="0"/>
    <n v="29050"/>
  </r>
  <r>
    <s v="CSKU04446_3EK"/>
    <x v="0"/>
    <x v="1"/>
    <x v="0"/>
    <x v="1"/>
    <x v="1"/>
    <x v="2"/>
    <x v="105"/>
    <x v="0"/>
    <x v="7"/>
    <x v="0"/>
    <n v="32250"/>
  </r>
  <r>
    <s v="CSKU00415_2EK"/>
    <x v="0"/>
    <x v="0"/>
    <x v="1"/>
    <x v="6"/>
    <x v="3"/>
    <x v="2"/>
    <x v="93"/>
    <x v="1"/>
    <x v="5"/>
    <x v="0"/>
    <n v="27270"/>
  </r>
  <r>
    <s v="CSKU00416_2EK"/>
    <x v="0"/>
    <x v="0"/>
    <x v="1"/>
    <x v="5"/>
    <x v="1"/>
    <x v="1"/>
    <x v="93"/>
    <x v="1"/>
    <x v="4"/>
    <x v="0"/>
    <n v="25020"/>
  </r>
  <r>
    <s v="CSKU00417_2EK"/>
    <x v="0"/>
    <x v="0"/>
    <x v="1"/>
    <x v="5"/>
    <x v="1"/>
    <x v="2"/>
    <x v="93"/>
    <x v="1"/>
    <x v="5"/>
    <x v="0"/>
    <n v="27450"/>
  </r>
  <r>
    <s v="CSKU00418_2EK"/>
    <x v="0"/>
    <x v="0"/>
    <x v="1"/>
    <x v="5"/>
    <x v="3"/>
    <x v="1"/>
    <x v="93"/>
    <x v="1"/>
    <x v="4"/>
    <x v="0"/>
    <n v="26610"/>
  </r>
  <r>
    <s v="CSKU00419_2EK"/>
    <x v="0"/>
    <x v="0"/>
    <x v="1"/>
    <x v="5"/>
    <x v="3"/>
    <x v="2"/>
    <x v="93"/>
    <x v="1"/>
    <x v="5"/>
    <x v="0"/>
    <n v="29880"/>
  </r>
  <r>
    <s v="CSKU00597_2EK"/>
    <x v="0"/>
    <x v="0"/>
    <x v="1"/>
    <x v="5"/>
    <x v="1"/>
    <x v="2"/>
    <x v="92"/>
    <x v="1"/>
    <x v="5"/>
    <x v="0"/>
    <n v="27450"/>
  </r>
  <r>
    <s v="CSKU00598_2EK"/>
    <x v="0"/>
    <x v="0"/>
    <x v="1"/>
    <x v="5"/>
    <x v="3"/>
    <x v="1"/>
    <x v="92"/>
    <x v="1"/>
    <x v="4"/>
    <x v="0"/>
    <n v="26610"/>
  </r>
  <r>
    <s v="CSKU00599_2EK"/>
    <x v="0"/>
    <x v="0"/>
    <x v="1"/>
    <x v="5"/>
    <x v="3"/>
    <x v="2"/>
    <x v="92"/>
    <x v="1"/>
    <x v="5"/>
    <x v="0"/>
    <n v="29880"/>
  </r>
  <r>
    <s v="CSKU00956_2EK"/>
    <x v="0"/>
    <x v="0"/>
    <x v="1"/>
    <x v="5"/>
    <x v="1"/>
    <x v="1"/>
    <x v="87"/>
    <x v="1"/>
    <x v="4"/>
    <x v="0"/>
    <n v="25020"/>
  </r>
  <r>
    <s v="CSKU00957_2EK"/>
    <x v="0"/>
    <x v="0"/>
    <x v="1"/>
    <x v="5"/>
    <x v="1"/>
    <x v="2"/>
    <x v="87"/>
    <x v="1"/>
    <x v="5"/>
    <x v="0"/>
    <n v="27450"/>
  </r>
  <r>
    <s v="CSKU00958_2EK"/>
    <x v="0"/>
    <x v="0"/>
    <x v="1"/>
    <x v="5"/>
    <x v="3"/>
    <x v="1"/>
    <x v="87"/>
    <x v="1"/>
    <x v="4"/>
    <x v="0"/>
    <n v="26610"/>
  </r>
  <r>
    <s v="CSKU00959_2EK"/>
    <x v="0"/>
    <x v="0"/>
    <x v="1"/>
    <x v="5"/>
    <x v="3"/>
    <x v="2"/>
    <x v="87"/>
    <x v="1"/>
    <x v="5"/>
    <x v="0"/>
    <n v="29880"/>
  </r>
  <r>
    <m/>
    <x v="0"/>
    <x v="1"/>
    <x v="0"/>
    <x v="0"/>
    <x v="0"/>
    <x v="3"/>
    <x v="44"/>
    <x v="0"/>
    <x v="2"/>
    <x v="0"/>
    <n v="32250"/>
  </r>
  <r>
    <m/>
    <x v="0"/>
    <x v="1"/>
    <x v="0"/>
    <x v="0"/>
    <x v="0"/>
    <x v="3"/>
    <x v="45"/>
    <x v="0"/>
    <x v="2"/>
    <x v="0"/>
    <n v="32250"/>
  </r>
  <r>
    <m/>
    <x v="0"/>
    <x v="1"/>
    <x v="0"/>
    <x v="0"/>
    <x v="0"/>
    <x v="3"/>
    <x v="46"/>
    <x v="0"/>
    <x v="2"/>
    <x v="0"/>
    <n v="32250"/>
  </r>
  <r>
    <m/>
    <x v="0"/>
    <x v="1"/>
    <x v="0"/>
    <x v="0"/>
    <x v="0"/>
    <x v="3"/>
    <x v="4"/>
    <x v="0"/>
    <x v="2"/>
    <x v="0"/>
    <n v="32250"/>
  </r>
  <r>
    <m/>
    <x v="0"/>
    <x v="1"/>
    <x v="0"/>
    <x v="0"/>
    <x v="0"/>
    <x v="3"/>
    <x v="47"/>
    <x v="0"/>
    <x v="2"/>
    <x v="0"/>
    <n v="32250"/>
  </r>
  <r>
    <m/>
    <x v="0"/>
    <x v="1"/>
    <x v="0"/>
    <x v="0"/>
    <x v="0"/>
    <x v="3"/>
    <x v="48"/>
    <x v="0"/>
    <x v="2"/>
    <x v="0"/>
    <n v="32250"/>
  </r>
  <r>
    <m/>
    <x v="0"/>
    <x v="1"/>
    <x v="0"/>
    <x v="0"/>
    <x v="0"/>
    <x v="4"/>
    <x v="49"/>
    <x v="0"/>
    <x v="2"/>
    <x v="0"/>
    <n v="37160"/>
  </r>
  <r>
    <m/>
    <x v="0"/>
    <x v="1"/>
    <x v="0"/>
    <x v="0"/>
    <x v="0"/>
    <x v="4"/>
    <x v="50"/>
    <x v="0"/>
    <x v="2"/>
    <x v="0"/>
    <n v="37160"/>
  </r>
  <r>
    <m/>
    <x v="0"/>
    <x v="1"/>
    <x v="0"/>
    <x v="0"/>
    <x v="0"/>
    <x v="4"/>
    <x v="51"/>
    <x v="0"/>
    <x v="2"/>
    <x v="0"/>
    <n v="37160"/>
  </r>
  <r>
    <m/>
    <x v="0"/>
    <x v="1"/>
    <x v="0"/>
    <x v="0"/>
    <x v="0"/>
    <x v="4"/>
    <x v="52"/>
    <x v="0"/>
    <x v="2"/>
    <x v="0"/>
    <n v="37160"/>
  </r>
  <r>
    <m/>
    <x v="0"/>
    <x v="1"/>
    <x v="0"/>
    <x v="0"/>
    <x v="0"/>
    <x v="4"/>
    <x v="53"/>
    <x v="0"/>
    <x v="2"/>
    <x v="0"/>
    <n v="37160"/>
  </r>
  <r>
    <m/>
    <x v="0"/>
    <x v="1"/>
    <x v="0"/>
    <x v="0"/>
    <x v="0"/>
    <x v="4"/>
    <x v="6"/>
    <x v="0"/>
    <x v="2"/>
    <x v="0"/>
    <n v="37160"/>
  </r>
  <r>
    <m/>
    <x v="0"/>
    <x v="1"/>
    <x v="0"/>
    <x v="0"/>
    <x v="0"/>
    <x v="4"/>
    <x v="37"/>
    <x v="0"/>
    <x v="2"/>
    <x v="0"/>
    <n v="37160"/>
  </r>
  <r>
    <m/>
    <x v="0"/>
    <x v="1"/>
    <x v="0"/>
    <x v="0"/>
    <x v="0"/>
    <x v="4"/>
    <x v="38"/>
    <x v="0"/>
    <x v="2"/>
    <x v="0"/>
    <n v="37160"/>
  </r>
  <r>
    <m/>
    <x v="0"/>
    <x v="1"/>
    <x v="0"/>
    <x v="2"/>
    <x v="0"/>
    <x v="5"/>
    <x v="38"/>
    <x v="0"/>
    <x v="2"/>
    <x v="0"/>
    <n v="46040"/>
  </r>
  <r>
    <m/>
    <x v="0"/>
    <x v="1"/>
    <x v="0"/>
    <x v="2"/>
    <x v="0"/>
    <x v="5"/>
    <x v="39"/>
    <x v="0"/>
    <x v="2"/>
    <x v="0"/>
    <n v="46040"/>
  </r>
  <r>
    <m/>
    <x v="0"/>
    <x v="1"/>
    <x v="0"/>
    <x v="2"/>
    <x v="0"/>
    <x v="5"/>
    <x v="40"/>
    <x v="0"/>
    <x v="2"/>
    <x v="0"/>
    <n v="46040"/>
  </r>
  <r>
    <m/>
    <x v="0"/>
    <x v="1"/>
    <x v="0"/>
    <x v="2"/>
    <x v="0"/>
    <x v="5"/>
    <x v="41"/>
    <x v="0"/>
    <x v="2"/>
    <x v="0"/>
    <n v="46040"/>
  </r>
  <r>
    <m/>
    <x v="0"/>
    <x v="1"/>
    <x v="0"/>
    <x v="2"/>
    <x v="0"/>
    <x v="5"/>
    <x v="42"/>
    <x v="0"/>
    <x v="2"/>
    <x v="0"/>
    <n v="46040"/>
  </r>
  <r>
    <m/>
    <x v="0"/>
    <x v="1"/>
    <x v="0"/>
    <x v="2"/>
    <x v="0"/>
    <x v="5"/>
    <x v="43"/>
    <x v="0"/>
    <x v="2"/>
    <x v="0"/>
    <n v="46040"/>
  </r>
  <r>
    <m/>
    <x v="0"/>
    <x v="1"/>
    <x v="0"/>
    <x v="2"/>
    <x v="0"/>
    <x v="5"/>
    <x v="44"/>
    <x v="0"/>
    <x v="2"/>
    <x v="0"/>
    <n v="46040"/>
  </r>
  <r>
    <m/>
    <x v="0"/>
    <x v="1"/>
    <x v="0"/>
    <x v="2"/>
    <x v="0"/>
    <x v="5"/>
    <x v="45"/>
    <x v="0"/>
    <x v="2"/>
    <x v="0"/>
    <n v="46040"/>
  </r>
  <r>
    <m/>
    <x v="0"/>
    <x v="1"/>
    <x v="0"/>
    <x v="2"/>
    <x v="0"/>
    <x v="5"/>
    <x v="46"/>
    <x v="0"/>
    <x v="2"/>
    <x v="0"/>
    <n v="46040"/>
  </r>
  <r>
    <m/>
    <x v="0"/>
    <x v="1"/>
    <x v="0"/>
    <x v="2"/>
    <x v="0"/>
    <x v="5"/>
    <x v="4"/>
    <x v="0"/>
    <x v="2"/>
    <x v="0"/>
    <n v="46040"/>
  </r>
  <r>
    <m/>
    <x v="0"/>
    <x v="1"/>
    <x v="0"/>
    <x v="2"/>
    <x v="0"/>
    <x v="5"/>
    <x v="47"/>
    <x v="0"/>
    <x v="2"/>
    <x v="0"/>
    <n v="46040"/>
  </r>
  <r>
    <m/>
    <x v="0"/>
    <x v="1"/>
    <x v="0"/>
    <x v="2"/>
    <x v="0"/>
    <x v="5"/>
    <x v="48"/>
    <x v="0"/>
    <x v="2"/>
    <x v="0"/>
    <n v="46040"/>
  </r>
  <r>
    <m/>
    <x v="0"/>
    <x v="1"/>
    <x v="0"/>
    <x v="2"/>
    <x v="1"/>
    <x v="1"/>
    <x v="55"/>
    <x v="0"/>
    <x v="3"/>
    <x v="0"/>
    <n v="31060"/>
  </r>
  <r>
    <m/>
    <x v="0"/>
    <x v="1"/>
    <x v="0"/>
    <x v="2"/>
    <x v="1"/>
    <x v="1"/>
    <x v="5"/>
    <x v="0"/>
    <x v="3"/>
    <x v="0"/>
    <n v="30740"/>
  </r>
  <r>
    <m/>
    <x v="0"/>
    <x v="1"/>
    <x v="1"/>
    <x v="0"/>
    <x v="0"/>
    <x v="3"/>
    <x v="53"/>
    <x v="1"/>
    <x v="2"/>
    <x v="0"/>
    <n v="30600"/>
  </r>
  <r>
    <m/>
    <x v="0"/>
    <x v="1"/>
    <x v="1"/>
    <x v="0"/>
    <x v="0"/>
    <x v="3"/>
    <x v="6"/>
    <x v="1"/>
    <x v="2"/>
    <x v="0"/>
    <n v="30600"/>
  </r>
  <r>
    <m/>
    <x v="0"/>
    <x v="1"/>
    <x v="1"/>
    <x v="0"/>
    <x v="0"/>
    <x v="3"/>
    <x v="37"/>
    <x v="1"/>
    <x v="2"/>
    <x v="0"/>
    <n v="30600"/>
  </r>
  <r>
    <m/>
    <x v="0"/>
    <x v="1"/>
    <x v="1"/>
    <x v="0"/>
    <x v="0"/>
    <x v="3"/>
    <x v="38"/>
    <x v="1"/>
    <x v="2"/>
    <x v="0"/>
    <n v="30600"/>
  </r>
  <r>
    <m/>
    <x v="0"/>
    <x v="1"/>
    <x v="1"/>
    <x v="0"/>
    <x v="0"/>
    <x v="3"/>
    <x v="39"/>
    <x v="1"/>
    <x v="2"/>
    <x v="0"/>
    <n v="30600"/>
  </r>
  <r>
    <m/>
    <x v="0"/>
    <x v="1"/>
    <x v="1"/>
    <x v="0"/>
    <x v="0"/>
    <x v="3"/>
    <x v="40"/>
    <x v="1"/>
    <x v="2"/>
    <x v="0"/>
    <n v="30600"/>
  </r>
  <r>
    <m/>
    <x v="0"/>
    <x v="1"/>
    <x v="1"/>
    <x v="0"/>
    <x v="0"/>
    <x v="3"/>
    <x v="41"/>
    <x v="1"/>
    <x v="2"/>
    <x v="0"/>
    <n v="30600"/>
  </r>
  <r>
    <m/>
    <x v="0"/>
    <x v="1"/>
    <x v="1"/>
    <x v="0"/>
    <x v="0"/>
    <x v="3"/>
    <x v="42"/>
    <x v="1"/>
    <x v="2"/>
    <x v="0"/>
    <n v="30600"/>
  </r>
  <r>
    <m/>
    <x v="0"/>
    <x v="1"/>
    <x v="1"/>
    <x v="0"/>
    <x v="0"/>
    <x v="3"/>
    <x v="43"/>
    <x v="1"/>
    <x v="2"/>
    <x v="0"/>
    <n v="30600"/>
  </r>
  <r>
    <m/>
    <x v="0"/>
    <x v="1"/>
    <x v="1"/>
    <x v="0"/>
    <x v="0"/>
    <x v="3"/>
    <x v="44"/>
    <x v="1"/>
    <x v="2"/>
    <x v="0"/>
    <n v="30600"/>
  </r>
  <r>
    <m/>
    <x v="0"/>
    <x v="1"/>
    <x v="1"/>
    <x v="0"/>
    <x v="0"/>
    <x v="3"/>
    <x v="45"/>
    <x v="1"/>
    <x v="2"/>
    <x v="0"/>
    <n v="30600"/>
  </r>
  <r>
    <m/>
    <x v="0"/>
    <x v="1"/>
    <x v="1"/>
    <x v="0"/>
    <x v="0"/>
    <x v="3"/>
    <x v="46"/>
    <x v="1"/>
    <x v="2"/>
    <x v="0"/>
    <n v="30600"/>
  </r>
  <r>
    <m/>
    <x v="0"/>
    <x v="1"/>
    <x v="1"/>
    <x v="0"/>
    <x v="0"/>
    <x v="3"/>
    <x v="4"/>
    <x v="1"/>
    <x v="2"/>
    <x v="0"/>
    <n v="30600"/>
  </r>
  <r>
    <m/>
    <x v="0"/>
    <x v="1"/>
    <x v="1"/>
    <x v="0"/>
    <x v="0"/>
    <x v="3"/>
    <x v="47"/>
    <x v="1"/>
    <x v="2"/>
    <x v="0"/>
    <n v="30600"/>
  </r>
  <r>
    <m/>
    <x v="0"/>
    <x v="1"/>
    <x v="1"/>
    <x v="2"/>
    <x v="0"/>
    <x v="4"/>
    <x v="4"/>
    <x v="1"/>
    <x v="2"/>
    <x v="0"/>
    <n v="38730"/>
  </r>
  <r>
    <m/>
    <x v="0"/>
    <x v="1"/>
    <x v="1"/>
    <x v="2"/>
    <x v="0"/>
    <x v="4"/>
    <x v="47"/>
    <x v="1"/>
    <x v="2"/>
    <x v="0"/>
    <n v="38730"/>
  </r>
  <r>
    <m/>
    <x v="0"/>
    <x v="1"/>
    <x v="1"/>
    <x v="2"/>
    <x v="0"/>
    <x v="4"/>
    <x v="48"/>
    <x v="1"/>
    <x v="2"/>
    <x v="0"/>
    <n v="38730"/>
  </r>
  <r>
    <m/>
    <x v="0"/>
    <x v="1"/>
    <x v="1"/>
    <x v="2"/>
    <x v="0"/>
    <x v="5"/>
    <x v="49"/>
    <x v="1"/>
    <x v="2"/>
    <x v="0"/>
    <n v="44020"/>
  </r>
  <r>
    <m/>
    <x v="0"/>
    <x v="1"/>
    <x v="1"/>
    <x v="2"/>
    <x v="0"/>
    <x v="5"/>
    <x v="50"/>
    <x v="1"/>
    <x v="2"/>
    <x v="0"/>
    <n v="44020"/>
  </r>
  <r>
    <m/>
    <x v="0"/>
    <x v="1"/>
    <x v="1"/>
    <x v="2"/>
    <x v="0"/>
    <x v="5"/>
    <x v="51"/>
    <x v="1"/>
    <x v="2"/>
    <x v="0"/>
    <n v="44020"/>
  </r>
  <r>
    <m/>
    <x v="0"/>
    <x v="1"/>
    <x v="1"/>
    <x v="2"/>
    <x v="0"/>
    <x v="5"/>
    <x v="52"/>
    <x v="1"/>
    <x v="2"/>
    <x v="0"/>
    <n v="44020"/>
  </r>
  <r>
    <m/>
    <x v="0"/>
    <x v="1"/>
    <x v="1"/>
    <x v="2"/>
    <x v="0"/>
    <x v="5"/>
    <x v="53"/>
    <x v="1"/>
    <x v="2"/>
    <x v="0"/>
    <n v="44020"/>
  </r>
  <r>
    <m/>
    <x v="0"/>
    <x v="1"/>
    <x v="1"/>
    <x v="2"/>
    <x v="0"/>
    <x v="5"/>
    <x v="6"/>
    <x v="1"/>
    <x v="2"/>
    <x v="0"/>
    <n v="44020"/>
  </r>
  <r>
    <m/>
    <x v="0"/>
    <x v="1"/>
    <x v="1"/>
    <x v="2"/>
    <x v="0"/>
    <x v="5"/>
    <x v="37"/>
    <x v="1"/>
    <x v="2"/>
    <x v="0"/>
    <n v="44020"/>
  </r>
  <r>
    <m/>
    <x v="0"/>
    <x v="1"/>
    <x v="1"/>
    <x v="2"/>
    <x v="0"/>
    <x v="5"/>
    <x v="38"/>
    <x v="1"/>
    <x v="2"/>
    <x v="0"/>
    <n v="44020"/>
  </r>
  <r>
    <m/>
    <x v="0"/>
    <x v="1"/>
    <x v="1"/>
    <x v="2"/>
    <x v="0"/>
    <x v="5"/>
    <x v="39"/>
    <x v="1"/>
    <x v="2"/>
    <x v="0"/>
    <n v="44020"/>
  </r>
  <r>
    <m/>
    <x v="0"/>
    <x v="1"/>
    <x v="1"/>
    <x v="2"/>
    <x v="0"/>
    <x v="5"/>
    <x v="40"/>
    <x v="1"/>
    <x v="2"/>
    <x v="0"/>
    <n v="44020"/>
  </r>
  <r>
    <m/>
    <x v="0"/>
    <x v="0"/>
    <x v="0"/>
    <x v="6"/>
    <x v="1"/>
    <x v="1"/>
    <x v="97"/>
    <x v="0"/>
    <x v="1"/>
    <x v="0"/>
    <n v="19260"/>
  </r>
  <r>
    <m/>
    <x v="0"/>
    <x v="0"/>
    <x v="0"/>
    <x v="6"/>
    <x v="1"/>
    <x v="1"/>
    <x v="98"/>
    <x v="0"/>
    <x v="1"/>
    <x v="0"/>
    <n v="19530"/>
  </r>
  <r>
    <m/>
    <x v="0"/>
    <x v="0"/>
    <x v="0"/>
    <x v="6"/>
    <x v="1"/>
    <x v="2"/>
    <x v="94"/>
    <x v="0"/>
    <x v="0"/>
    <x v="0"/>
    <n v="22320"/>
  </r>
  <r>
    <m/>
    <x v="0"/>
    <x v="0"/>
    <x v="0"/>
    <x v="6"/>
    <x v="1"/>
    <x v="2"/>
    <x v="97"/>
    <x v="0"/>
    <x v="0"/>
    <x v="0"/>
    <n v="21780"/>
  </r>
  <r>
    <m/>
    <x v="0"/>
    <x v="0"/>
    <x v="0"/>
    <x v="6"/>
    <x v="1"/>
    <x v="2"/>
    <x v="98"/>
    <x v="0"/>
    <x v="0"/>
    <x v="0"/>
    <n v="22050"/>
  </r>
  <r>
    <m/>
    <x v="0"/>
    <x v="0"/>
    <x v="0"/>
    <x v="6"/>
    <x v="3"/>
    <x v="1"/>
    <x v="94"/>
    <x v="0"/>
    <x v="1"/>
    <x v="0"/>
    <n v="20960"/>
  </r>
  <r>
    <m/>
    <x v="0"/>
    <x v="0"/>
    <x v="0"/>
    <x v="6"/>
    <x v="3"/>
    <x v="1"/>
    <x v="97"/>
    <x v="0"/>
    <x v="1"/>
    <x v="0"/>
    <n v="20540"/>
  </r>
  <r>
    <m/>
    <x v="0"/>
    <x v="0"/>
    <x v="0"/>
    <x v="6"/>
    <x v="3"/>
    <x v="1"/>
    <x v="98"/>
    <x v="0"/>
    <x v="1"/>
    <x v="0"/>
    <n v="20750"/>
  </r>
  <r>
    <m/>
    <x v="0"/>
    <x v="0"/>
    <x v="0"/>
    <x v="6"/>
    <x v="3"/>
    <x v="2"/>
    <x v="94"/>
    <x v="0"/>
    <x v="0"/>
    <x v="0"/>
    <n v="24420"/>
  </r>
  <r>
    <m/>
    <x v="0"/>
    <x v="0"/>
    <x v="0"/>
    <x v="6"/>
    <x v="3"/>
    <x v="2"/>
    <x v="97"/>
    <x v="0"/>
    <x v="0"/>
    <x v="0"/>
    <n v="24000"/>
  </r>
  <r>
    <m/>
    <x v="0"/>
    <x v="0"/>
    <x v="0"/>
    <x v="6"/>
    <x v="3"/>
    <x v="2"/>
    <x v="98"/>
    <x v="0"/>
    <x v="0"/>
    <x v="0"/>
    <n v="24210"/>
  </r>
  <r>
    <m/>
    <x v="0"/>
    <x v="0"/>
    <x v="0"/>
    <x v="5"/>
    <x v="1"/>
    <x v="1"/>
    <x v="94"/>
    <x v="0"/>
    <x v="1"/>
    <x v="0"/>
    <n v="22270"/>
  </r>
  <r>
    <m/>
    <x v="0"/>
    <x v="0"/>
    <x v="0"/>
    <x v="5"/>
    <x v="1"/>
    <x v="1"/>
    <x v="97"/>
    <x v="0"/>
    <x v="1"/>
    <x v="0"/>
    <n v="21630"/>
  </r>
  <r>
    <m/>
    <x v="0"/>
    <x v="0"/>
    <x v="0"/>
    <x v="5"/>
    <x v="1"/>
    <x v="1"/>
    <x v="98"/>
    <x v="0"/>
    <x v="1"/>
    <x v="0"/>
    <n v="21950"/>
  </r>
  <r>
    <m/>
    <x v="0"/>
    <x v="0"/>
    <x v="0"/>
    <x v="0"/>
    <x v="2"/>
    <x v="0"/>
    <x v="61"/>
    <x v="0"/>
    <x v="1"/>
    <x v="0"/>
    <n v="23870"/>
  </r>
  <r>
    <m/>
    <x v="0"/>
    <x v="0"/>
    <x v="0"/>
    <x v="0"/>
    <x v="2"/>
    <x v="0"/>
    <x v="62"/>
    <x v="0"/>
    <x v="1"/>
    <x v="0"/>
    <n v="23870"/>
  </r>
  <r>
    <m/>
    <x v="0"/>
    <x v="0"/>
    <x v="0"/>
    <x v="0"/>
    <x v="2"/>
    <x v="0"/>
    <x v="63"/>
    <x v="0"/>
    <x v="1"/>
    <x v="0"/>
    <n v="23870"/>
  </r>
  <r>
    <m/>
    <x v="0"/>
    <x v="0"/>
    <x v="0"/>
    <x v="0"/>
    <x v="2"/>
    <x v="0"/>
    <x v="64"/>
    <x v="0"/>
    <x v="1"/>
    <x v="0"/>
    <n v="23870"/>
  </r>
  <r>
    <m/>
    <x v="0"/>
    <x v="0"/>
    <x v="0"/>
    <x v="0"/>
    <x v="2"/>
    <x v="0"/>
    <x v="65"/>
    <x v="0"/>
    <x v="1"/>
    <x v="0"/>
    <n v="23870"/>
  </r>
  <r>
    <m/>
    <x v="0"/>
    <x v="0"/>
    <x v="0"/>
    <x v="0"/>
    <x v="2"/>
    <x v="0"/>
    <x v="66"/>
    <x v="0"/>
    <x v="1"/>
    <x v="0"/>
    <n v="23870"/>
  </r>
  <r>
    <m/>
    <x v="0"/>
    <x v="0"/>
    <x v="0"/>
    <x v="0"/>
    <x v="2"/>
    <x v="0"/>
    <x v="67"/>
    <x v="0"/>
    <x v="1"/>
    <x v="0"/>
    <n v="23870"/>
  </r>
  <r>
    <m/>
    <x v="0"/>
    <x v="0"/>
    <x v="0"/>
    <x v="0"/>
    <x v="2"/>
    <x v="0"/>
    <x v="68"/>
    <x v="0"/>
    <x v="1"/>
    <x v="0"/>
    <n v="23870"/>
  </r>
  <r>
    <m/>
    <x v="0"/>
    <x v="0"/>
    <x v="0"/>
    <x v="0"/>
    <x v="2"/>
    <x v="0"/>
    <x v="69"/>
    <x v="0"/>
    <x v="1"/>
    <x v="0"/>
    <n v="23870"/>
  </r>
  <r>
    <m/>
    <x v="0"/>
    <x v="0"/>
    <x v="0"/>
    <x v="0"/>
    <x v="2"/>
    <x v="0"/>
    <x v="70"/>
    <x v="0"/>
    <x v="1"/>
    <x v="0"/>
    <n v="23870"/>
  </r>
  <r>
    <m/>
    <x v="0"/>
    <x v="0"/>
    <x v="0"/>
    <x v="0"/>
    <x v="2"/>
    <x v="0"/>
    <x v="2"/>
    <x v="0"/>
    <x v="1"/>
    <x v="0"/>
    <n v="23870"/>
  </r>
  <r>
    <m/>
    <x v="0"/>
    <x v="0"/>
    <x v="0"/>
    <x v="0"/>
    <x v="2"/>
    <x v="0"/>
    <x v="71"/>
    <x v="0"/>
    <x v="1"/>
    <x v="0"/>
    <n v="23870"/>
  </r>
  <r>
    <m/>
    <x v="0"/>
    <x v="0"/>
    <x v="0"/>
    <x v="0"/>
    <x v="2"/>
    <x v="0"/>
    <x v="72"/>
    <x v="0"/>
    <x v="1"/>
    <x v="0"/>
    <n v="23870"/>
  </r>
  <r>
    <m/>
    <x v="0"/>
    <x v="0"/>
    <x v="0"/>
    <x v="0"/>
    <x v="2"/>
    <x v="7"/>
    <x v="0"/>
    <x v="0"/>
    <x v="1"/>
    <x v="0"/>
    <n v="26180"/>
  </r>
  <r>
    <m/>
    <x v="0"/>
    <x v="0"/>
    <x v="0"/>
    <x v="0"/>
    <x v="2"/>
    <x v="7"/>
    <x v="56"/>
    <x v="0"/>
    <x v="1"/>
    <x v="0"/>
    <n v="26180"/>
  </r>
  <r>
    <m/>
    <x v="0"/>
    <x v="0"/>
    <x v="0"/>
    <x v="0"/>
    <x v="2"/>
    <x v="7"/>
    <x v="57"/>
    <x v="0"/>
    <x v="1"/>
    <x v="0"/>
    <n v="26180"/>
  </r>
  <r>
    <m/>
    <x v="0"/>
    <x v="0"/>
    <x v="1"/>
    <x v="7"/>
    <x v="4"/>
    <x v="1"/>
    <x v="102"/>
    <x v="1"/>
    <x v="9"/>
    <x v="0"/>
    <n v="11110"/>
  </r>
  <r>
    <m/>
    <x v="0"/>
    <x v="0"/>
    <x v="1"/>
    <x v="4"/>
    <x v="1"/>
    <x v="1"/>
    <x v="94"/>
    <x v="1"/>
    <x v="1"/>
    <x v="0"/>
    <n v="16680"/>
  </r>
  <r>
    <m/>
    <x v="0"/>
    <x v="0"/>
    <x v="1"/>
    <x v="4"/>
    <x v="1"/>
    <x v="1"/>
    <x v="97"/>
    <x v="1"/>
    <x v="1"/>
    <x v="0"/>
    <n v="14880"/>
  </r>
  <r>
    <m/>
    <x v="0"/>
    <x v="0"/>
    <x v="1"/>
    <x v="4"/>
    <x v="1"/>
    <x v="1"/>
    <x v="98"/>
    <x v="1"/>
    <x v="1"/>
    <x v="0"/>
    <n v="15780"/>
  </r>
  <r>
    <m/>
    <x v="0"/>
    <x v="0"/>
    <x v="1"/>
    <x v="4"/>
    <x v="1"/>
    <x v="2"/>
    <x v="94"/>
    <x v="1"/>
    <x v="0"/>
    <x v="0"/>
    <n v="18720"/>
  </r>
  <r>
    <m/>
    <x v="0"/>
    <x v="0"/>
    <x v="1"/>
    <x v="4"/>
    <x v="1"/>
    <x v="2"/>
    <x v="97"/>
    <x v="1"/>
    <x v="0"/>
    <x v="0"/>
    <n v="16920"/>
  </r>
  <r>
    <m/>
    <x v="0"/>
    <x v="0"/>
    <x v="1"/>
    <x v="4"/>
    <x v="1"/>
    <x v="2"/>
    <x v="98"/>
    <x v="1"/>
    <x v="0"/>
    <x v="0"/>
    <n v="17820"/>
  </r>
  <r>
    <m/>
    <x v="0"/>
    <x v="0"/>
    <x v="1"/>
    <x v="4"/>
    <x v="1"/>
    <x v="2"/>
    <x v="99"/>
    <x v="1"/>
    <x v="10"/>
    <x v="0"/>
    <n v="17040"/>
  </r>
  <r>
    <m/>
    <x v="0"/>
    <x v="0"/>
    <x v="1"/>
    <x v="4"/>
    <x v="1"/>
    <x v="2"/>
    <x v="100"/>
    <x v="1"/>
    <x v="10"/>
    <x v="0"/>
    <n v="15240"/>
  </r>
  <r>
    <m/>
    <x v="0"/>
    <x v="0"/>
    <x v="1"/>
    <x v="4"/>
    <x v="1"/>
    <x v="2"/>
    <x v="101"/>
    <x v="1"/>
    <x v="10"/>
    <x v="0"/>
    <n v="16140"/>
  </r>
  <r>
    <m/>
    <x v="0"/>
    <x v="0"/>
    <x v="1"/>
    <x v="4"/>
    <x v="3"/>
    <x v="1"/>
    <x v="94"/>
    <x v="1"/>
    <x v="1"/>
    <x v="0"/>
    <n v="18160"/>
  </r>
  <r>
    <m/>
    <x v="0"/>
    <x v="0"/>
    <x v="1"/>
    <x v="4"/>
    <x v="3"/>
    <x v="1"/>
    <x v="97"/>
    <x v="1"/>
    <x v="1"/>
    <x v="0"/>
    <n v="16060"/>
  </r>
  <r>
    <m/>
    <x v="0"/>
    <x v="0"/>
    <x v="1"/>
    <x v="4"/>
    <x v="3"/>
    <x v="1"/>
    <x v="98"/>
    <x v="1"/>
    <x v="1"/>
    <x v="0"/>
    <n v="17110"/>
  </r>
  <r>
    <m/>
    <x v="0"/>
    <x v="0"/>
    <x v="1"/>
    <x v="4"/>
    <x v="3"/>
    <x v="2"/>
    <x v="94"/>
    <x v="1"/>
    <x v="0"/>
    <x v="0"/>
    <n v="20520"/>
  </r>
  <r>
    <m/>
    <x v="0"/>
    <x v="0"/>
    <x v="1"/>
    <x v="0"/>
    <x v="0"/>
    <x v="0"/>
    <x v="71"/>
    <x v="1"/>
    <x v="0"/>
    <x v="0"/>
    <n v="25030"/>
  </r>
  <r>
    <m/>
    <x v="0"/>
    <x v="0"/>
    <x v="1"/>
    <x v="0"/>
    <x v="0"/>
    <x v="0"/>
    <x v="72"/>
    <x v="1"/>
    <x v="0"/>
    <x v="0"/>
    <n v="25030"/>
  </r>
  <r>
    <m/>
    <x v="0"/>
    <x v="0"/>
    <x v="1"/>
    <x v="0"/>
    <x v="0"/>
    <x v="7"/>
    <x v="0"/>
    <x v="1"/>
    <x v="0"/>
    <x v="0"/>
    <n v="27450"/>
  </r>
  <r>
    <m/>
    <x v="0"/>
    <x v="0"/>
    <x v="1"/>
    <x v="0"/>
    <x v="0"/>
    <x v="7"/>
    <x v="56"/>
    <x v="1"/>
    <x v="0"/>
    <x v="0"/>
    <n v="27450"/>
  </r>
  <r>
    <m/>
    <x v="0"/>
    <x v="0"/>
    <x v="1"/>
    <x v="0"/>
    <x v="0"/>
    <x v="7"/>
    <x v="57"/>
    <x v="1"/>
    <x v="0"/>
    <x v="0"/>
    <n v="27450"/>
  </r>
  <r>
    <m/>
    <x v="0"/>
    <x v="0"/>
    <x v="1"/>
    <x v="0"/>
    <x v="0"/>
    <x v="7"/>
    <x v="58"/>
    <x v="1"/>
    <x v="0"/>
    <x v="0"/>
    <n v="27450"/>
  </r>
  <r>
    <m/>
    <x v="0"/>
    <x v="0"/>
    <x v="1"/>
    <x v="0"/>
    <x v="0"/>
    <x v="7"/>
    <x v="59"/>
    <x v="1"/>
    <x v="0"/>
    <x v="0"/>
    <n v="27450"/>
  </r>
  <r>
    <m/>
    <x v="0"/>
    <x v="0"/>
    <x v="1"/>
    <x v="0"/>
    <x v="0"/>
    <x v="7"/>
    <x v="60"/>
    <x v="1"/>
    <x v="0"/>
    <x v="0"/>
    <n v="27450"/>
  </r>
  <r>
    <m/>
    <x v="0"/>
    <x v="0"/>
    <x v="1"/>
    <x v="0"/>
    <x v="0"/>
    <x v="7"/>
    <x v="61"/>
    <x v="1"/>
    <x v="0"/>
    <x v="0"/>
    <n v="27450"/>
  </r>
  <r>
    <m/>
    <x v="0"/>
    <x v="0"/>
    <x v="1"/>
    <x v="0"/>
    <x v="0"/>
    <x v="7"/>
    <x v="62"/>
    <x v="1"/>
    <x v="0"/>
    <x v="0"/>
    <n v="27450"/>
  </r>
  <r>
    <m/>
    <x v="0"/>
    <x v="0"/>
    <x v="1"/>
    <x v="0"/>
    <x v="0"/>
    <x v="7"/>
    <x v="63"/>
    <x v="1"/>
    <x v="0"/>
    <x v="0"/>
    <n v="27450"/>
  </r>
  <r>
    <m/>
    <x v="0"/>
    <x v="0"/>
    <x v="1"/>
    <x v="0"/>
    <x v="0"/>
    <x v="7"/>
    <x v="64"/>
    <x v="1"/>
    <x v="0"/>
    <x v="0"/>
    <n v="27450"/>
  </r>
  <r>
    <m/>
    <x v="0"/>
    <x v="0"/>
    <x v="1"/>
    <x v="0"/>
    <x v="0"/>
    <x v="7"/>
    <x v="65"/>
    <x v="1"/>
    <x v="0"/>
    <x v="0"/>
    <n v="27450"/>
  </r>
  <r>
    <m/>
    <x v="0"/>
    <x v="0"/>
    <x v="1"/>
    <x v="0"/>
    <x v="0"/>
    <x v="7"/>
    <x v="66"/>
    <x v="1"/>
    <x v="0"/>
    <x v="0"/>
    <n v="27450"/>
  </r>
  <r>
    <m/>
    <x v="0"/>
    <x v="0"/>
    <x v="1"/>
    <x v="0"/>
    <x v="0"/>
    <x v="7"/>
    <x v="67"/>
    <x v="1"/>
    <x v="0"/>
    <x v="0"/>
    <n v="27450"/>
  </r>
  <r>
    <m/>
    <x v="0"/>
    <x v="0"/>
    <x v="1"/>
    <x v="0"/>
    <x v="0"/>
    <x v="7"/>
    <x v="68"/>
    <x v="1"/>
    <x v="0"/>
    <x v="0"/>
    <n v="27450"/>
  </r>
  <r>
    <m/>
    <x v="0"/>
    <x v="0"/>
    <x v="1"/>
    <x v="0"/>
    <x v="0"/>
    <x v="7"/>
    <x v="69"/>
    <x v="1"/>
    <x v="0"/>
    <x v="0"/>
    <n v="27450"/>
  </r>
  <r>
    <m/>
    <x v="0"/>
    <x v="0"/>
    <x v="1"/>
    <x v="0"/>
    <x v="0"/>
    <x v="7"/>
    <x v="70"/>
    <x v="1"/>
    <x v="0"/>
    <x v="0"/>
    <n v="27450"/>
  </r>
  <r>
    <m/>
    <x v="0"/>
    <x v="0"/>
    <x v="0"/>
    <x v="5"/>
    <x v="1"/>
    <x v="2"/>
    <x v="94"/>
    <x v="0"/>
    <x v="0"/>
    <x v="0"/>
    <n v="24980"/>
  </r>
  <r>
    <m/>
    <x v="0"/>
    <x v="0"/>
    <x v="0"/>
    <x v="0"/>
    <x v="2"/>
    <x v="7"/>
    <x v="58"/>
    <x v="0"/>
    <x v="1"/>
    <x v="0"/>
    <n v="26180"/>
  </r>
  <r>
    <m/>
    <x v="0"/>
    <x v="0"/>
    <x v="1"/>
    <x v="4"/>
    <x v="3"/>
    <x v="2"/>
    <x v="97"/>
    <x v="1"/>
    <x v="0"/>
    <x v="0"/>
    <n v="18420"/>
  </r>
  <r>
    <m/>
    <x v="0"/>
    <x v="0"/>
    <x v="1"/>
    <x v="0"/>
    <x v="0"/>
    <x v="7"/>
    <x v="2"/>
    <x v="1"/>
    <x v="0"/>
    <x v="0"/>
    <n v="27450"/>
  </r>
  <r>
    <m/>
    <x v="0"/>
    <x v="1"/>
    <x v="0"/>
    <x v="0"/>
    <x v="0"/>
    <x v="4"/>
    <x v="39"/>
    <x v="0"/>
    <x v="2"/>
    <x v="0"/>
    <n v="37160"/>
  </r>
  <r>
    <m/>
    <x v="0"/>
    <x v="1"/>
    <x v="0"/>
    <x v="2"/>
    <x v="1"/>
    <x v="1"/>
    <x v="54"/>
    <x v="0"/>
    <x v="3"/>
    <x v="0"/>
    <n v="30100"/>
  </r>
  <r>
    <m/>
    <x v="0"/>
    <x v="1"/>
    <x v="1"/>
    <x v="0"/>
    <x v="0"/>
    <x v="3"/>
    <x v="48"/>
    <x v="1"/>
    <x v="2"/>
    <x v="0"/>
    <n v="30600"/>
  </r>
  <r>
    <m/>
    <x v="0"/>
    <x v="1"/>
    <x v="1"/>
    <x v="2"/>
    <x v="0"/>
    <x v="5"/>
    <x v="41"/>
    <x v="1"/>
    <x v="2"/>
    <x v="0"/>
    <n v="44020"/>
  </r>
  <r>
    <s v="CSKU01495_2EK"/>
    <x v="0"/>
    <x v="0"/>
    <x v="1"/>
    <x v="6"/>
    <x v="3"/>
    <x v="2"/>
    <x v="96"/>
    <x v="1"/>
    <x v="5"/>
    <x v="0"/>
    <n v="27270"/>
  </r>
  <r>
    <s v="CSKU02648_3EK"/>
    <x v="0"/>
    <x v="1"/>
    <x v="0"/>
    <x v="1"/>
    <x v="3"/>
    <x v="2"/>
    <x v="103"/>
    <x v="0"/>
    <x v="7"/>
    <x v="0"/>
    <n v="29040"/>
  </r>
  <r>
    <s v="CSKU03546_3EK"/>
    <x v="0"/>
    <x v="1"/>
    <x v="0"/>
    <x v="1"/>
    <x v="1"/>
    <x v="2"/>
    <x v="104"/>
    <x v="0"/>
    <x v="7"/>
    <x v="0"/>
    <n v="32250"/>
  </r>
  <r>
    <s v="CSKU04447_3EK"/>
    <x v="0"/>
    <x v="1"/>
    <x v="0"/>
    <x v="1"/>
    <x v="3"/>
    <x v="1"/>
    <x v="105"/>
    <x v="0"/>
    <x v="6"/>
    <x v="0"/>
    <n v="30900"/>
  </r>
  <r>
    <s v="CSKU04448_3EK"/>
    <x v="0"/>
    <x v="1"/>
    <x v="0"/>
    <x v="1"/>
    <x v="3"/>
    <x v="2"/>
    <x v="105"/>
    <x v="0"/>
    <x v="7"/>
    <x v="0"/>
    <n v="35110"/>
  </r>
  <r>
    <s v="CSKU04449_3EK"/>
    <x v="0"/>
    <x v="1"/>
    <x v="0"/>
    <x v="3"/>
    <x v="1"/>
    <x v="1"/>
    <x v="105"/>
    <x v="0"/>
    <x v="6"/>
    <x v="0"/>
    <n v="33950"/>
  </r>
  <r>
    <s v="CSKU04450_3EK"/>
    <x v="0"/>
    <x v="1"/>
    <x v="0"/>
    <x v="3"/>
    <x v="1"/>
    <x v="2"/>
    <x v="105"/>
    <x v="0"/>
    <x v="7"/>
    <x v="0"/>
    <n v="37160"/>
  </r>
  <r>
    <s v="CSKU04451_3EK"/>
    <x v="0"/>
    <x v="1"/>
    <x v="0"/>
    <x v="3"/>
    <x v="3"/>
    <x v="1"/>
    <x v="105"/>
    <x v="0"/>
    <x v="6"/>
    <x v="0"/>
    <n v="36160"/>
  </r>
  <r>
    <s v="CSKU04452_3EK"/>
    <x v="0"/>
    <x v="1"/>
    <x v="0"/>
    <x v="3"/>
    <x v="3"/>
    <x v="2"/>
    <x v="105"/>
    <x v="0"/>
    <x v="7"/>
    <x v="0"/>
    <n v="40630"/>
  </r>
  <r>
    <s v="CSKU04453_3EK"/>
    <x v="0"/>
    <x v="1"/>
    <x v="0"/>
    <x v="2"/>
    <x v="1"/>
    <x v="1"/>
    <x v="105"/>
    <x v="0"/>
    <x v="6"/>
    <x v="0"/>
    <n v="38870"/>
  </r>
  <r>
    <s v="CSKU04454_3EK"/>
    <x v="0"/>
    <x v="1"/>
    <x v="0"/>
    <x v="2"/>
    <x v="1"/>
    <x v="2"/>
    <x v="105"/>
    <x v="0"/>
    <x v="7"/>
    <x v="0"/>
    <n v="42250"/>
  </r>
  <r>
    <s v="CSKU04455_3EK"/>
    <x v="0"/>
    <x v="1"/>
    <x v="0"/>
    <x v="2"/>
    <x v="3"/>
    <x v="1"/>
    <x v="105"/>
    <x v="0"/>
    <x v="6"/>
    <x v="0"/>
    <n v="41400"/>
  </r>
  <r>
    <s v="CSKU04456_3EK"/>
    <x v="0"/>
    <x v="1"/>
    <x v="0"/>
    <x v="2"/>
    <x v="3"/>
    <x v="2"/>
    <x v="105"/>
    <x v="0"/>
    <x v="7"/>
    <x v="0"/>
    <n v="46040"/>
  </r>
  <r>
    <s v="CSKU04457_3EK"/>
    <x v="0"/>
    <x v="1"/>
    <x v="1"/>
    <x v="1"/>
    <x v="1"/>
    <x v="1"/>
    <x v="105"/>
    <x v="1"/>
    <x v="6"/>
    <x v="0"/>
    <n v="27730"/>
  </r>
  <r>
    <s v="CSKU04458_3EK"/>
    <x v="0"/>
    <x v="1"/>
    <x v="1"/>
    <x v="1"/>
    <x v="1"/>
    <x v="2"/>
    <x v="105"/>
    <x v="1"/>
    <x v="7"/>
    <x v="0"/>
    <n v="30600"/>
  </r>
  <r>
    <s v="CSKU04459_3EK"/>
    <x v="0"/>
    <x v="1"/>
    <x v="1"/>
    <x v="1"/>
    <x v="3"/>
    <x v="1"/>
    <x v="105"/>
    <x v="1"/>
    <x v="6"/>
    <x v="0"/>
    <n v="29550"/>
  </r>
  <r>
    <s v="CSKU04733_3EK"/>
    <x v="0"/>
    <x v="1"/>
    <x v="1"/>
    <x v="3"/>
    <x v="3"/>
    <x v="1"/>
    <x v="17"/>
    <x v="1"/>
    <x v="6"/>
    <x v="0"/>
    <n v="11830"/>
  </r>
  <r>
    <s v="CSKU04362_3EK"/>
    <x v="0"/>
    <x v="1"/>
    <x v="0"/>
    <x v="3"/>
    <x v="3"/>
    <x v="2"/>
    <x v="16"/>
    <x v="0"/>
    <x v="7"/>
    <x v="0"/>
    <n v="40630"/>
  </r>
  <r>
    <s v="CSKU04460_3EK"/>
    <x v="0"/>
    <x v="1"/>
    <x v="1"/>
    <x v="1"/>
    <x v="3"/>
    <x v="2"/>
    <x v="105"/>
    <x v="1"/>
    <x v="7"/>
    <x v="0"/>
    <n v="33320"/>
  </r>
  <r>
    <s v="CSKU04461_3EK"/>
    <x v="0"/>
    <x v="1"/>
    <x v="1"/>
    <x v="3"/>
    <x v="1"/>
    <x v="1"/>
    <x v="105"/>
    <x v="1"/>
    <x v="6"/>
    <x v="0"/>
    <n v="32560"/>
  </r>
  <r>
    <s v="CSKU04462_3EK"/>
    <x v="0"/>
    <x v="1"/>
    <x v="1"/>
    <x v="3"/>
    <x v="1"/>
    <x v="2"/>
    <x v="105"/>
    <x v="1"/>
    <x v="7"/>
    <x v="0"/>
    <n v="35430"/>
  </r>
  <r>
    <s v="CSKU04463_3EK"/>
    <x v="0"/>
    <x v="1"/>
    <x v="1"/>
    <x v="3"/>
    <x v="3"/>
    <x v="1"/>
    <x v="105"/>
    <x v="1"/>
    <x v="6"/>
    <x v="0"/>
    <n v="34740"/>
  </r>
  <r>
    <s v="CSKU04464_3EK"/>
    <x v="0"/>
    <x v="1"/>
    <x v="1"/>
    <x v="3"/>
    <x v="3"/>
    <x v="2"/>
    <x v="105"/>
    <x v="1"/>
    <x v="7"/>
    <x v="0"/>
    <n v="38730"/>
  </r>
  <r>
    <s v="CSKU04465_3EK"/>
    <x v="0"/>
    <x v="1"/>
    <x v="1"/>
    <x v="2"/>
    <x v="1"/>
    <x v="1"/>
    <x v="105"/>
    <x v="1"/>
    <x v="6"/>
    <x v="0"/>
    <n v="37390"/>
  </r>
  <r>
    <s v="CSKU04466_3EK"/>
    <x v="0"/>
    <x v="1"/>
    <x v="1"/>
    <x v="2"/>
    <x v="1"/>
    <x v="2"/>
    <x v="105"/>
    <x v="1"/>
    <x v="7"/>
    <x v="0"/>
    <n v="40400"/>
  </r>
  <r>
    <s v="CSKU04467_3EK"/>
    <x v="0"/>
    <x v="1"/>
    <x v="1"/>
    <x v="2"/>
    <x v="3"/>
    <x v="1"/>
    <x v="105"/>
    <x v="1"/>
    <x v="6"/>
    <x v="0"/>
    <n v="39890"/>
  </r>
  <r>
    <s v="CSKU04468_3EK"/>
    <x v="0"/>
    <x v="1"/>
    <x v="1"/>
    <x v="2"/>
    <x v="3"/>
    <x v="2"/>
    <x v="105"/>
    <x v="1"/>
    <x v="7"/>
    <x v="0"/>
    <n v="44020"/>
  </r>
  <r>
    <s v="CSKU03905_3EK"/>
    <x v="0"/>
    <x v="1"/>
    <x v="0"/>
    <x v="1"/>
    <x v="1"/>
    <x v="1"/>
    <x v="106"/>
    <x v="0"/>
    <x v="6"/>
    <x v="0"/>
    <n v="29050"/>
  </r>
  <r>
    <s v="CSKU03906_3EK"/>
    <x v="0"/>
    <x v="1"/>
    <x v="0"/>
    <x v="1"/>
    <x v="1"/>
    <x v="2"/>
    <x v="106"/>
    <x v="0"/>
    <x v="7"/>
    <x v="0"/>
    <n v="32250"/>
  </r>
  <r>
    <s v="CSKU03907_3EK"/>
    <x v="0"/>
    <x v="1"/>
    <x v="0"/>
    <x v="1"/>
    <x v="3"/>
    <x v="1"/>
    <x v="106"/>
    <x v="0"/>
    <x v="6"/>
    <x v="0"/>
    <n v="30900"/>
  </r>
  <r>
    <s v="CSKU03908_3EK"/>
    <x v="0"/>
    <x v="1"/>
    <x v="0"/>
    <x v="1"/>
    <x v="3"/>
    <x v="2"/>
    <x v="106"/>
    <x v="0"/>
    <x v="7"/>
    <x v="0"/>
    <n v="35110"/>
  </r>
  <r>
    <s v="CSKU03909_3EK"/>
    <x v="0"/>
    <x v="1"/>
    <x v="0"/>
    <x v="3"/>
    <x v="1"/>
    <x v="1"/>
    <x v="106"/>
    <x v="0"/>
    <x v="6"/>
    <x v="0"/>
    <n v="33950"/>
  </r>
  <r>
    <s v="CSKU03910_3EK"/>
    <x v="0"/>
    <x v="1"/>
    <x v="0"/>
    <x v="3"/>
    <x v="1"/>
    <x v="2"/>
    <x v="106"/>
    <x v="0"/>
    <x v="7"/>
    <x v="0"/>
    <n v="37160"/>
  </r>
  <r>
    <s v="CSKU03911_3EK"/>
    <x v="0"/>
    <x v="1"/>
    <x v="0"/>
    <x v="3"/>
    <x v="3"/>
    <x v="1"/>
    <x v="106"/>
    <x v="0"/>
    <x v="6"/>
    <x v="0"/>
    <n v="36160"/>
  </r>
  <r>
    <s v="CSKU03912_3EK"/>
    <x v="0"/>
    <x v="1"/>
    <x v="0"/>
    <x v="3"/>
    <x v="3"/>
    <x v="2"/>
    <x v="106"/>
    <x v="0"/>
    <x v="7"/>
    <x v="0"/>
    <n v="40630"/>
  </r>
  <r>
    <s v="CSKU04089_3EK"/>
    <x v="0"/>
    <x v="1"/>
    <x v="0"/>
    <x v="3"/>
    <x v="1"/>
    <x v="1"/>
    <x v="15"/>
    <x v="0"/>
    <x v="6"/>
    <x v="0"/>
    <n v="33950"/>
  </r>
  <r>
    <s v="CSKU04715_3EK"/>
    <x v="0"/>
    <x v="1"/>
    <x v="0"/>
    <x v="1"/>
    <x v="1"/>
    <x v="1"/>
    <x v="17"/>
    <x v="0"/>
    <x v="6"/>
    <x v="0"/>
    <n v="12160"/>
  </r>
  <r>
    <s v="CSKU04716_3EK"/>
    <x v="0"/>
    <x v="1"/>
    <x v="0"/>
    <x v="1"/>
    <x v="1"/>
    <x v="2"/>
    <x v="17"/>
    <x v="0"/>
    <x v="7"/>
    <x v="0"/>
    <n v="15360"/>
  </r>
  <r>
    <s v="CSKU04717_3EK"/>
    <x v="0"/>
    <x v="1"/>
    <x v="0"/>
    <x v="1"/>
    <x v="3"/>
    <x v="1"/>
    <x v="17"/>
    <x v="0"/>
    <x v="6"/>
    <x v="0"/>
    <n v="12500"/>
  </r>
  <r>
    <s v="CSKU04718_3EK"/>
    <x v="0"/>
    <x v="1"/>
    <x v="0"/>
    <x v="1"/>
    <x v="3"/>
    <x v="2"/>
    <x v="17"/>
    <x v="0"/>
    <x v="7"/>
    <x v="0"/>
    <n v="16710"/>
  </r>
  <r>
    <s v="CSKU04719_3EK"/>
    <x v="0"/>
    <x v="1"/>
    <x v="0"/>
    <x v="3"/>
    <x v="1"/>
    <x v="1"/>
    <x v="17"/>
    <x v="0"/>
    <x v="6"/>
    <x v="0"/>
    <n v="12980"/>
  </r>
  <r>
    <s v="CSKU04720_3EK"/>
    <x v="0"/>
    <x v="1"/>
    <x v="0"/>
    <x v="3"/>
    <x v="1"/>
    <x v="2"/>
    <x v="17"/>
    <x v="0"/>
    <x v="7"/>
    <x v="0"/>
    <n v="16190"/>
  </r>
  <r>
    <s v="CSKU04721_3EK"/>
    <x v="0"/>
    <x v="1"/>
    <x v="0"/>
    <x v="3"/>
    <x v="3"/>
    <x v="1"/>
    <x v="17"/>
    <x v="0"/>
    <x v="6"/>
    <x v="0"/>
    <n v="13250"/>
  </r>
  <r>
    <s v="CSKU04722_3EK"/>
    <x v="0"/>
    <x v="1"/>
    <x v="0"/>
    <x v="3"/>
    <x v="3"/>
    <x v="2"/>
    <x v="17"/>
    <x v="0"/>
    <x v="7"/>
    <x v="0"/>
    <n v="17720"/>
  </r>
  <r>
    <s v="CSKU04723_3EK"/>
    <x v="0"/>
    <x v="1"/>
    <x v="0"/>
    <x v="2"/>
    <x v="1"/>
    <x v="1"/>
    <x v="17"/>
    <x v="0"/>
    <x v="6"/>
    <x v="0"/>
    <n v="13840"/>
  </r>
  <r>
    <s v="CSKU04724_3EK"/>
    <x v="0"/>
    <x v="1"/>
    <x v="0"/>
    <x v="2"/>
    <x v="1"/>
    <x v="2"/>
    <x v="17"/>
    <x v="0"/>
    <x v="7"/>
    <x v="0"/>
    <n v="17220"/>
  </r>
  <r>
    <s v="CSKU04725_3EK"/>
    <x v="0"/>
    <x v="1"/>
    <x v="0"/>
    <x v="2"/>
    <x v="3"/>
    <x v="1"/>
    <x v="17"/>
    <x v="0"/>
    <x v="6"/>
    <x v="0"/>
    <n v="14100"/>
  </r>
  <r>
    <s v="CSKU03826_3EK"/>
    <x v="0"/>
    <x v="1"/>
    <x v="0"/>
    <x v="2"/>
    <x v="3"/>
    <x v="2"/>
    <x v="14"/>
    <x v="0"/>
    <x v="7"/>
    <x v="0"/>
    <n v="46040"/>
  </r>
  <r>
    <s v="CSKU03913_3EK"/>
    <x v="0"/>
    <x v="1"/>
    <x v="0"/>
    <x v="2"/>
    <x v="1"/>
    <x v="1"/>
    <x v="106"/>
    <x v="0"/>
    <x v="6"/>
    <x v="0"/>
    <n v="38870"/>
  </r>
  <r>
    <s v="CSKU03914_3EK"/>
    <x v="0"/>
    <x v="1"/>
    <x v="0"/>
    <x v="2"/>
    <x v="1"/>
    <x v="2"/>
    <x v="106"/>
    <x v="0"/>
    <x v="7"/>
    <x v="0"/>
    <n v="42250"/>
  </r>
  <r>
    <s v="CSKU03915_3EK"/>
    <x v="0"/>
    <x v="1"/>
    <x v="0"/>
    <x v="2"/>
    <x v="3"/>
    <x v="1"/>
    <x v="106"/>
    <x v="0"/>
    <x v="6"/>
    <x v="0"/>
    <n v="41400"/>
  </r>
  <r>
    <s v="CSKU03916_3EK"/>
    <x v="0"/>
    <x v="1"/>
    <x v="0"/>
    <x v="2"/>
    <x v="3"/>
    <x v="2"/>
    <x v="106"/>
    <x v="0"/>
    <x v="7"/>
    <x v="0"/>
    <n v="46040"/>
  </r>
  <r>
    <s v="CSKU03917_3EK"/>
    <x v="0"/>
    <x v="1"/>
    <x v="1"/>
    <x v="1"/>
    <x v="1"/>
    <x v="1"/>
    <x v="106"/>
    <x v="1"/>
    <x v="6"/>
    <x v="0"/>
    <n v="27730"/>
  </r>
  <r>
    <s v="CSKU03918_3EK"/>
    <x v="0"/>
    <x v="1"/>
    <x v="1"/>
    <x v="1"/>
    <x v="1"/>
    <x v="2"/>
    <x v="106"/>
    <x v="1"/>
    <x v="7"/>
    <x v="0"/>
    <n v="30600"/>
  </r>
  <r>
    <s v="CSKU03919_3EK"/>
    <x v="0"/>
    <x v="1"/>
    <x v="1"/>
    <x v="1"/>
    <x v="3"/>
    <x v="1"/>
    <x v="106"/>
    <x v="1"/>
    <x v="6"/>
    <x v="0"/>
    <n v="29550"/>
  </r>
  <r>
    <s v="CSKU03920_3EK"/>
    <x v="0"/>
    <x v="1"/>
    <x v="1"/>
    <x v="1"/>
    <x v="3"/>
    <x v="2"/>
    <x v="106"/>
    <x v="1"/>
    <x v="7"/>
    <x v="0"/>
    <n v="33320"/>
  </r>
  <r>
    <s v="CSKU03921_3EK"/>
    <x v="0"/>
    <x v="1"/>
    <x v="1"/>
    <x v="3"/>
    <x v="1"/>
    <x v="1"/>
    <x v="106"/>
    <x v="1"/>
    <x v="6"/>
    <x v="0"/>
    <n v="32560"/>
  </r>
  <r>
    <s v="CSKU03922_3EK"/>
    <x v="0"/>
    <x v="1"/>
    <x v="1"/>
    <x v="3"/>
    <x v="1"/>
    <x v="2"/>
    <x v="106"/>
    <x v="1"/>
    <x v="7"/>
    <x v="0"/>
    <n v="35430"/>
  </r>
  <r>
    <s v="CSKU04175_3EK"/>
    <x v="0"/>
    <x v="1"/>
    <x v="0"/>
    <x v="1"/>
    <x v="1"/>
    <x v="1"/>
    <x v="107"/>
    <x v="0"/>
    <x v="6"/>
    <x v="0"/>
    <n v="29050"/>
  </r>
  <r>
    <s v="CSKU04176_3EK"/>
    <x v="0"/>
    <x v="1"/>
    <x v="0"/>
    <x v="1"/>
    <x v="1"/>
    <x v="2"/>
    <x v="107"/>
    <x v="0"/>
    <x v="7"/>
    <x v="0"/>
    <n v="32250"/>
  </r>
  <r>
    <s v="CSKU04177_3EK"/>
    <x v="0"/>
    <x v="1"/>
    <x v="0"/>
    <x v="1"/>
    <x v="3"/>
    <x v="1"/>
    <x v="107"/>
    <x v="0"/>
    <x v="6"/>
    <x v="0"/>
    <n v="30900"/>
  </r>
  <r>
    <s v="CSKU04178_3EK"/>
    <x v="0"/>
    <x v="1"/>
    <x v="0"/>
    <x v="1"/>
    <x v="3"/>
    <x v="2"/>
    <x v="107"/>
    <x v="0"/>
    <x v="7"/>
    <x v="0"/>
    <n v="35110"/>
  </r>
  <r>
    <s v="CSKU04179_3EK"/>
    <x v="0"/>
    <x v="1"/>
    <x v="0"/>
    <x v="3"/>
    <x v="1"/>
    <x v="1"/>
    <x v="107"/>
    <x v="0"/>
    <x v="6"/>
    <x v="0"/>
    <n v="33950"/>
  </r>
  <r>
    <s v="CSKU04180_3EK"/>
    <x v="0"/>
    <x v="1"/>
    <x v="0"/>
    <x v="3"/>
    <x v="1"/>
    <x v="2"/>
    <x v="107"/>
    <x v="0"/>
    <x v="7"/>
    <x v="0"/>
    <n v="37160"/>
  </r>
  <r>
    <s v="CSKU04181_3EK"/>
    <x v="0"/>
    <x v="1"/>
    <x v="0"/>
    <x v="3"/>
    <x v="3"/>
    <x v="1"/>
    <x v="107"/>
    <x v="0"/>
    <x v="6"/>
    <x v="0"/>
    <n v="36160"/>
  </r>
  <r>
    <s v="CSKU04182_3EK"/>
    <x v="0"/>
    <x v="1"/>
    <x v="0"/>
    <x v="3"/>
    <x v="3"/>
    <x v="2"/>
    <x v="107"/>
    <x v="0"/>
    <x v="7"/>
    <x v="0"/>
    <n v="40630"/>
  </r>
  <r>
    <s v="CSKU04183_3EK"/>
    <x v="0"/>
    <x v="1"/>
    <x v="0"/>
    <x v="2"/>
    <x v="1"/>
    <x v="1"/>
    <x v="107"/>
    <x v="0"/>
    <x v="6"/>
    <x v="0"/>
    <n v="38870"/>
  </r>
  <r>
    <s v="CSKU04184_3EK"/>
    <x v="0"/>
    <x v="1"/>
    <x v="0"/>
    <x v="2"/>
    <x v="1"/>
    <x v="2"/>
    <x v="107"/>
    <x v="0"/>
    <x v="7"/>
    <x v="0"/>
    <n v="42250"/>
  </r>
  <r>
    <s v="CSKU04185_3EK"/>
    <x v="0"/>
    <x v="1"/>
    <x v="0"/>
    <x v="2"/>
    <x v="3"/>
    <x v="1"/>
    <x v="107"/>
    <x v="0"/>
    <x v="6"/>
    <x v="0"/>
    <n v="41400"/>
  </r>
  <r>
    <s v="CSKU04186_3EK"/>
    <x v="0"/>
    <x v="1"/>
    <x v="0"/>
    <x v="2"/>
    <x v="3"/>
    <x v="2"/>
    <x v="107"/>
    <x v="0"/>
    <x v="7"/>
    <x v="0"/>
    <n v="46040"/>
  </r>
  <r>
    <s v="CSKU04187_3EK"/>
    <x v="0"/>
    <x v="1"/>
    <x v="1"/>
    <x v="1"/>
    <x v="1"/>
    <x v="1"/>
    <x v="107"/>
    <x v="1"/>
    <x v="6"/>
    <x v="0"/>
    <n v="27730"/>
  </r>
  <r>
    <s v="CSKU04726_3EK"/>
    <x v="0"/>
    <x v="1"/>
    <x v="0"/>
    <x v="2"/>
    <x v="3"/>
    <x v="2"/>
    <x v="17"/>
    <x v="0"/>
    <x v="7"/>
    <x v="0"/>
    <n v="18740"/>
  </r>
  <r>
    <s v="CSKU04727_3EK"/>
    <x v="0"/>
    <x v="1"/>
    <x v="1"/>
    <x v="1"/>
    <x v="1"/>
    <x v="1"/>
    <x v="17"/>
    <x v="1"/>
    <x v="6"/>
    <x v="0"/>
    <n v="10840"/>
  </r>
  <r>
    <s v="CSKU04728_3EK"/>
    <x v="0"/>
    <x v="1"/>
    <x v="1"/>
    <x v="1"/>
    <x v="1"/>
    <x v="2"/>
    <x v="17"/>
    <x v="1"/>
    <x v="7"/>
    <x v="0"/>
    <n v="13710"/>
  </r>
  <r>
    <s v="CSKU04729_3EK"/>
    <x v="0"/>
    <x v="1"/>
    <x v="1"/>
    <x v="1"/>
    <x v="3"/>
    <x v="1"/>
    <x v="17"/>
    <x v="1"/>
    <x v="6"/>
    <x v="0"/>
    <n v="11150"/>
  </r>
  <r>
    <s v="CSKU04730_3EK"/>
    <x v="0"/>
    <x v="1"/>
    <x v="1"/>
    <x v="1"/>
    <x v="3"/>
    <x v="2"/>
    <x v="17"/>
    <x v="1"/>
    <x v="7"/>
    <x v="0"/>
    <n v="14920"/>
  </r>
  <r>
    <s v="CSKU04731_3EK"/>
    <x v="0"/>
    <x v="1"/>
    <x v="1"/>
    <x v="3"/>
    <x v="1"/>
    <x v="1"/>
    <x v="17"/>
    <x v="1"/>
    <x v="6"/>
    <x v="0"/>
    <n v="11590"/>
  </r>
  <r>
    <s v="CSKU04732_3EK"/>
    <x v="0"/>
    <x v="1"/>
    <x v="1"/>
    <x v="3"/>
    <x v="1"/>
    <x v="2"/>
    <x v="17"/>
    <x v="1"/>
    <x v="7"/>
    <x v="0"/>
    <n v="14460"/>
  </r>
  <r>
    <s v="CSKU04188_3EK"/>
    <x v="0"/>
    <x v="1"/>
    <x v="1"/>
    <x v="1"/>
    <x v="1"/>
    <x v="2"/>
    <x v="107"/>
    <x v="1"/>
    <x v="7"/>
    <x v="0"/>
    <n v="30600"/>
  </r>
  <r>
    <s v="CSKU04189_3EK"/>
    <x v="0"/>
    <x v="1"/>
    <x v="1"/>
    <x v="1"/>
    <x v="3"/>
    <x v="1"/>
    <x v="107"/>
    <x v="1"/>
    <x v="6"/>
    <x v="0"/>
    <n v="29550"/>
  </r>
  <r>
    <s v="CSKU04190_3EK"/>
    <x v="0"/>
    <x v="1"/>
    <x v="1"/>
    <x v="1"/>
    <x v="3"/>
    <x v="2"/>
    <x v="107"/>
    <x v="1"/>
    <x v="7"/>
    <x v="0"/>
    <n v="33320"/>
  </r>
  <r>
    <s v="CSKU04191_3EK"/>
    <x v="0"/>
    <x v="1"/>
    <x v="1"/>
    <x v="3"/>
    <x v="1"/>
    <x v="1"/>
    <x v="107"/>
    <x v="1"/>
    <x v="6"/>
    <x v="0"/>
    <n v="32560"/>
  </r>
  <r>
    <s v="CSKU04192_3EK"/>
    <x v="0"/>
    <x v="1"/>
    <x v="1"/>
    <x v="3"/>
    <x v="1"/>
    <x v="2"/>
    <x v="107"/>
    <x v="1"/>
    <x v="7"/>
    <x v="0"/>
    <n v="35430"/>
  </r>
  <r>
    <s v="CSKU04193_3EK"/>
    <x v="0"/>
    <x v="1"/>
    <x v="1"/>
    <x v="3"/>
    <x v="3"/>
    <x v="1"/>
    <x v="107"/>
    <x v="1"/>
    <x v="6"/>
    <x v="0"/>
    <n v="34740"/>
  </r>
  <r>
    <s v="CSKU04194_3EK"/>
    <x v="0"/>
    <x v="1"/>
    <x v="1"/>
    <x v="3"/>
    <x v="3"/>
    <x v="2"/>
    <x v="107"/>
    <x v="1"/>
    <x v="7"/>
    <x v="0"/>
    <n v="38730"/>
  </r>
  <r>
    <s v="CSKU04195_3EK"/>
    <x v="0"/>
    <x v="1"/>
    <x v="1"/>
    <x v="2"/>
    <x v="1"/>
    <x v="1"/>
    <x v="107"/>
    <x v="1"/>
    <x v="6"/>
    <x v="0"/>
    <n v="37390"/>
  </r>
  <r>
    <s v="CSKU04196_3EK"/>
    <x v="0"/>
    <x v="1"/>
    <x v="1"/>
    <x v="2"/>
    <x v="1"/>
    <x v="2"/>
    <x v="107"/>
    <x v="1"/>
    <x v="7"/>
    <x v="0"/>
    <n v="40400"/>
  </r>
  <r>
    <s v="CSKU04197_3EK"/>
    <x v="0"/>
    <x v="1"/>
    <x v="1"/>
    <x v="2"/>
    <x v="3"/>
    <x v="1"/>
    <x v="107"/>
    <x v="1"/>
    <x v="6"/>
    <x v="0"/>
    <n v="39890"/>
  </r>
  <r>
    <s v="CSKU04198_3EK"/>
    <x v="0"/>
    <x v="1"/>
    <x v="1"/>
    <x v="2"/>
    <x v="3"/>
    <x v="2"/>
    <x v="107"/>
    <x v="1"/>
    <x v="7"/>
    <x v="0"/>
    <n v="44020"/>
  </r>
  <r>
    <s v="CSKU03923_3EK"/>
    <x v="0"/>
    <x v="1"/>
    <x v="1"/>
    <x v="3"/>
    <x v="3"/>
    <x v="1"/>
    <x v="106"/>
    <x v="1"/>
    <x v="6"/>
    <x v="0"/>
    <n v="34740"/>
  </r>
  <r>
    <s v="CSKU03924_3EK"/>
    <x v="0"/>
    <x v="1"/>
    <x v="1"/>
    <x v="3"/>
    <x v="3"/>
    <x v="2"/>
    <x v="106"/>
    <x v="1"/>
    <x v="7"/>
    <x v="0"/>
    <n v="38730"/>
  </r>
  <r>
    <s v="CSKU03925_3EK"/>
    <x v="0"/>
    <x v="1"/>
    <x v="1"/>
    <x v="2"/>
    <x v="1"/>
    <x v="1"/>
    <x v="106"/>
    <x v="1"/>
    <x v="6"/>
    <x v="0"/>
    <n v="37390"/>
  </r>
  <r>
    <s v="CSKU03926_3EK"/>
    <x v="0"/>
    <x v="1"/>
    <x v="1"/>
    <x v="2"/>
    <x v="1"/>
    <x v="2"/>
    <x v="106"/>
    <x v="1"/>
    <x v="7"/>
    <x v="0"/>
    <n v="40400"/>
  </r>
  <r>
    <s v="CSKU03927_3EK"/>
    <x v="0"/>
    <x v="1"/>
    <x v="1"/>
    <x v="2"/>
    <x v="3"/>
    <x v="1"/>
    <x v="106"/>
    <x v="1"/>
    <x v="6"/>
    <x v="0"/>
    <n v="39890"/>
  </r>
  <r>
    <s v="CSKU03928_3EK"/>
    <x v="0"/>
    <x v="1"/>
    <x v="1"/>
    <x v="2"/>
    <x v="3"/>
    <x v="2"/>
    <x v="106"/>
    <x v="1"/>
    <x v="7"/>
    <x v="0"/>
    <n v="44020"/>
  </r>
  <r>
    <s v="CSKU04355_3EK"/>
    <x v="0"/>
    <x v="1"/>
    <x v="0"/>
    <x v="1"/>
    <x v="1"/>
    <x v="1"/>
    <x v="16"/>
    <x v="0"/>
    <x v="6"/>
    <x v="0"/>
    <n v="29050"/>
  </r>
  <r>
    <s v="CSKU04356_3EK"/>
    <x v="0"/>
    <x v="1"/>
    <x v="0"/>
    <x v="1"/>
    <x v="1"/>
    <x v="2"/>
    <x v="16"/>
    <x v="0"/>
    <x v="7"/>
    <x v="0"/>
    <n v="32250"/>
  </r>
  <r>
    <s v="CSKU04357_3EK"/>
    <x v="0"/>
    <x v="1"/>
    <x v="0"/>
    <x v="1"/>
    <x v="3"/>
    <x v="1"/>
    <x v="16"/>
    <x v="0"/>
    <x v="6"/>
    <x v="0"/>
    <n v="30900"/>
  </r>
  <r>
    <s v="CSKU04358_3EK"/>
    <x v="0"/>
    <x v="1"/>
    <x v="0"/>
    <x v="1"/>
    <x v="3"/>
    <x v="2"/>
    <x v="16"/>
    <x v="0"/>
    <x v="7"/>
    <x v="0"/>
    <n v="35110"/>
  </r>
  <r>
    <s v="CSKU04359_3EK"/>
    <x v="0"/>
    <x v="1"/>
    <x v="0"/>
    <x v="3"/>
    <x v="1"/>
    <x v="1"/>
    <x v="16"/>
    <x v="0"/>
    <x v="6"/>
    <x v="0"/>
    <n v="33950"/>
  </r>
  <r>
    <s v="CSKU04360_3EK"/>
    <x v="0"/>
    <x v="1"/>
    <x v="0"/>
    <x v="3"/>
    <x v="1"/>
    <x v="2"/>
    <x v="16"/>
    <x v="0"/>
    <x v="7"/>
    <x v="0"/>
    <n v="37160"/>
  </r>
  <r>
    <s v="CSKU04361_3EK"/>
    <x v="0"/>
    <x v="1"/>
    <x v="0"/>
    <x v="3"/>
    <x v="3"/>
    <x v="1"/>
    <x v="16"/>
    <x v="0"/>
    <x v="6"/>
    <x v="0"/>
    <n v="36160"/>
  </r>
  <r>
    <s v="CSKU03547_3EK"/>
    <x v="0"/>
    <x v="1"/>
    <x v="0"/>
    <x v="1"/>
    <x v="3"/>
    <x v="1"/>
    <x v="104"/>
    <x v="0"/>
    <x v="6"/>
    <x v="0"/>
    <n v="30900"/>
  </r>
  <r>
    <s v="CSKU03548_3EK"/>
    <x v="0"/>
    <x v="1"/>
    <x v="0"/>
    <x v="1"/>
    <x v="3"/>
    <x v="2"/>
    <x v="104"/>
    <x v="0"/>
    <x v="7"/>
    <x v="0"/>
    <n v="35110"/>
  </r>
  <r>
    <s v="CSKU03549_3EK"/>
    <x v="0"/>
    <x v="1"/>
    <x v="0"/>
    <x v="3"/>
    <x v="1"/>
    <x v="1"/>
    <x v="104"/>
    <x v="0"/>
    <x v="6"/>
    <x v="0"/>
    <n v="33950"/>
  </r>
  <r>
    <s v="CSKU03550_3EK"/>
    <x v="0"/>
    <x v="1"/>
    <x v="0"/>
    <x v="3"/>
    <x v="1"/>
    <x v="2"/>
    <x v="104"/>
    <x v="0"/>
    <x v="7"/>
    <x v="0"/>
    <n v="37160"/>
  </r>
  <r>
    <s v="CSKU03551_3EK"/>
    <x v="0"/>
    <x v="1"/>
    <x v="0"/>
    <x v="3"/>
    <x v="3"/>
    <x v="1"/>
    <x v="104"/>
    <x v="0"/>
    <x v="6"/>
    <x v="0"/>
    <n v="36160"/>
  </r>
  <r>
    <s v="CSKU03552_3EK"/>
    <x v="0"/>
    <x v="1"/>
    <x v="0"/>
    <x v="3"/>
    <x v="3"/>
    <x v="2"/>
    <x v="104"/>
    <x v="0"/>
    <x v="7"/>
    <x v="0"/>
    <n v="40630"/>
  </r>
  <r>
    <s v="CSKU03553_3EK"/>
    <x v="0"/>
    <x v="1"/>
    <x v="0"/>
    <x v="2"/>
    <x v="1"/>
    <x v="1"/>
    <x v="104"/>
    <x v="0"/>
    <x v="6"/>
    <x v="0"/>
    <n v="38870"/>
  </r>
  <r>
    <s v="CSKU03554_3EK"/>
    <x v="0"/>
    <x v="1"/>
    <x v="0"/>
    <x v="2"/>
    <x v="1"/>
    <x v="2"/>
    <x v="104"/>
    <x v="0"/>
    <x v="7"/>
    <x v="0"/>
    <n v="42250"/>
  </r>
  <r>
    <s v="CSKU03555_3EK"/>
    <x v="0"/>
    <x v="1"/>
    <x v="0"/>
    <x v="2"/>
    <x v="3"/>
    <x v="1"/>
    <x v="104"/>
    <x v="0"/>
    <x v="6"/>
    <x v="0"/>
    <n v="41400"/>
  </r>
  <r>
    <s v="CSKU03556_3EK"/>
    <x v="0"/>
    <x v="1"/>
    <x v="0"/>
    <x v="2"/>
    <x v="3"/>
    <x v="2"/>
    <x v="104"/>
    <x v="0"/>
    <x v="7"/>
    <x v="0"/>
    <n v="46040"/>
  </r>
  <r>
    <s v="CSKU03557_3EK"/>
    <x v="0"/>
    <x v="1"/>
    <x v="1"/>
    <x v="1"/>
    <x v="1"/>
    <x v="1"/>
    <x v="104"/>
    <x v="1"/>
    <x v="6"/>
    <x v="0"/>
    <n v="27730"/>
  </r>
  <r>
    <s v="CSKU03558_3EK"/>
    <x v="0"/>
    <x v="1"/>
    <x v="1"/>
    <x v="1"/>
    <x v="1"/>
    <x v="2"/>
    <x v="104"/>
    <x v="1"/>
    <x v="7"/>
    <x v="0"/>
    <n v="30600"/>
  </r>
  <r>
    <s v="CSKU03559_3EK"/>
    <x v="0"/>
    <x v="1"/>
    <x v="1"/>
    <x v="1"/>
    <x v="3"/>
    <x v="1"/>
    <x v="104"/>
    <x v="1"/>
    <x v="6"/>
    <x v="0"/>
    <n v="29550"/>
  </r>
  <r>
    <s v="CSKU03560_3EK"/>
    <x v="0"/>
    <x v="1"/>
    <x v="1"/>
    <x v="1"/>
    <x v="3"/>
    <x v="2"/>
    <x v="104"/>
    <x v="1"/>
    <x v="7"/>
    <x v="0"/>
    <n v="33320"/>
  </r>
  <r>
    <s v="CSKU03561_3EK"/>
    <x v="0"/>
    <x v="1"/>
    <x v="1"/>
    <x v="3"/>
    <x v="1"/>
    <x v="1"/>
    <x v="104"/>
    <x v="1"/>
    <x v="6"/>
    <x v="0"/>
    <n v="32560"/>
  </r>
  <r>
    <s v="CSKU03562_3EK"/>
    <x v="0"/>
    <x v="1"/>
    <x v="1"/>
    <x v="3"/>
    <x v="1"/>
    <x v="2"/>
    <x v="104"/>
    <x v="1"/>
    <x v="7"/>
    <x v="0"/>
    <n v="35430"/>
  </r>
  <r>
    <s v="CSKU03563_3EK"/>
    <x v="0"/>
    <x v="1"/>
    <x v="1"/>
    <x v="3"/>
    <x v="3"/>
    <x v="1"/>
    <x v="104"/>
    <x v="1"/>
    <x v="6"/>
    <x v="0"/>
    <n v="34740"/>
  </r>
  <r>
    <s v="CSKU03564_3EK"/>
    <x v="0"/>
    <x v="1"/>
    <x v="1"/>
    <x v="3"/>
    <x v="3"/>
    <x v="2"/>
    <x v="104"/>
    <x v="1"/>
    <x v="7"/>
    <x v="0"/>
    <n v="38730"/>
  </r>
  <r>
    <s v="CSKU03565_3EK"/>
    <x v="0"/>
    <x v="1"/>
    <x v="1"/>
    <x v="2"/>
    <x v="1"/>
    <x v="1"/>
    <x v="104"/>
    <x v="1"/>
    <x v="6"/>
    <x v="0"/>
    <n v="37390"/>
  </r>
  <r>
    <s v="CSKU03566_3EK"/>
    <x v="0"/>
    <x v="1"/>
    <x v="1"/>
    <x v="2"/>
    <x v="1"/>
    <x v="2"/>
    <x v="104"/>
    <x v="1"/>
    <x v="7"/>
    <x v="0"/>
    <n v="40400"/>
  </r>
  <r>
    <s v="CSKU03567_3EK"/>
    <x v="0"/>
    <x v="1"/>
    <x v="1"/>
    <x v="2"/>
    <x v="3"/>
    <x v="1"/>
    <x v="104"/>
    <x v="1"/>
    <x v="6"/>
    <x v="0"/>
    <n v="39890"/>
  </r>
  <r>
    <s v="CSKU03815_3EK"/>
    <x v="0"/>
    <x v="1"/>
    <x v="0"/>
    <x v="1"/>
    <x v="1"/>
    <x v="1"/>
    <x v="14"/>
    <x v="0"/>
    <x v="6"/>
    <x v="0"/>
    <n v="29050"/>
  </r>
  <r>
    <s v="CSKU03816_3EK"/>
    <x v="0"/>
    <x v="1"/>
    <x v="0"/>
    <x v="1"/>
    <x v="1"/>
    <x v="2"/>
    <x v="14"/>
    <x v="0"/>
    <x v="7"/>
    <x v="0"/>
    <n v="32250"/>
  </r>
  <r>
    <s v="CSKU03817_3EK"/>
    <x v="0"/>
    <x v="1"/>
    <x v="0"/>
    <x v="1"/>
    <x v="3"/>
    <x v="1"/>
    <x v="14"/>
    <x v="0"/>
    <x v="6"/>
    <x v="0"/>
    <n v="30900"/>
  </r>
  <r>
    <s v="CSKU03818_3EK"/>
    <x v="0"/>
    <x v="1"/>
    <x v="0"/>
    <x v="1"/>
    <x v="3"/>
    <x v="2"/>
    <x v="14"/>
    <x v="0"/>
    <x v="7"/>
    <x v="0"/>
    <n v="35110"/>
  </r>
  <r>
    <s v="CSKU03819_3EK"/>
    <x v="0"/>
    <x v="1"/>
    <x v="0"/>
    <x v="3"/>
    <x v="1"/>
    <x v="1"/>
    <x v="14"/>
    <x v="0"/>
    <x v="6"/>
    <x v="0"/>
    <n v="33950"/>
  </r>
  <r>
    <s v="CSKU04085_3EK"/>
    <x v="0"/>
    <x v="1"/>
    <x v="0"/>
    <x v="1"/>
    <x v="1"/>
    <x v="1"/>
    <x v="15"/>
    <x v="0"/>
    <x v="6"/>
    <x v="0"/>
    <n v="29050"/>
  </r>
  <r>
    <s v="CSKU04086_3EK"/>
    <x v="0"/>
    <x v="1"/>
    <x v="0"/>
    <x v="1"/>
    <x v="1"/>
    <x v="2"/>
    <x v="15"/>
    <x v="0"/>
    <x v="7"/>
    <x v="0"/>
    <n v="32250"/>
  </r>
  <r>
    <s v="CSKU04087_3EK"/>
    <x v="0"/>
    <x v="1"/>
    <x v="0"/>
    <x v="1"/>
    <x v="3"/>
    <x v="1"/>
    <x v="15"/>
    <x v="0"/>
    <x v="6"/>
    <x v="0"/>
    <n v="30900"/>
  </r>
  <r>
    <s v="CSKU04088_3EK"/>
    <x v="0"/>
    <x v="1"/>
    <x v="0"/>
    <x v="1"/>
    <x v="3"/>
    <x v="2"/>
    <x v="15"/>
    <x v="0"/>
    <x v="7"/>
    <x v="0"/>
    <n v="35110"/>
  </r>
  <r>
    <s v="CSKU03568_3EK"/>
    <x v="0"/>
    <x v="1"/>
    <x v="1"/>
    <x v="2"/>
    <x v="3"/>
    <x v="2"/>
    <x v="104"/>
    <x v="1"/>
    <x v="7"/>
    <x v="0"/>
    <n v="44020"/>
  </r>
  <r>
    <s v="CSKU02915_3EK"/>
    <x v="0"/>
    <x v="1"/>
    <x v="0"/>
    <x v="1"/>
    <x v="1"/>
    <x v="1"/>
    <x v="108"/>
    <x v="0"/>
    <x v="6"/>
    <x v="0"/>
    <n v="29050"/>
  </r>
  <r>
    <s v="CSKU02916_3EK"/>
    <x v="0"/>
    <x v="1"/>
    <x v="0"/>
    <x v="1"/>
    <x v="1"/>
    <x v="2"/>
    <x v="108"/>
    <x v="0"/>
    <x v="7"/>
    <x v="0"/>
    <n v="32250"/>
  </r>
  <r>
    <s v="CSKU02917_3EK"/>
    <x v="0"/>
    <x v="1"/>
    <x v="0"/>
    <x v="1"/>
    <x v="3"/>
    <x v="1"/>
    <x v="108"/>
    <x v="0"/>
    <x v="6"/>
    <x v="0"/>
    <n v="30900"/>
  </r>
  <r>
    <s v="CSKU02918_3EK"/>
    <x v="0"/>
    <x v="1"/>
    <x v="0"/>
    <x v="1"/>
    <x v="3"/>
    <x v="2"/>
    <x v="108"/>
    <x v="0"/>
    <x v="7"/>
    <x v="0"/>
    <n v="35110"/>
  </r>
  <r>
    <s v="CSKU02919_3EK"/>
    <x v="0"/>
    <x v="1"/>
    <x v="0"/>
    <x v="3"/>
    <x v="1"/>
    <x v="1"/>
    <x v="108"/>
    <x v="0"/>
    <x v="6"/>
    <x v="0"/>
    <n v="33950"/>
  </r>
  <r>
    <s v="CSKU02920_3EK"/>
    <x v="0"/>
    <x v="1"/>
    <x v="0"/>
    <x v="3"/>
    <x v="1"/>
    <x v="2"/>
    <x v="108"/>
    <x v="0"/>
    <x v="7"/>
    <x v="0"/>
    <n v="37160"/>
  </r>
  <r>
    <s v="CSKU02921_3EK"/>
    <x v="0"/>
    <x v="1"/>
    <x v="0"/>
    <x v="3"/>
    <x v="3"/>
    <x v="1"/>
    <x v="108"/>
    <x v="0"/>
    <x v="6"/>
    <x v="0"/>
    <n v="36160"/>
  </r>
  <r>
    <s v="CSKU02922_3EK"/>
    <x v="0"/>
    <x v="1"/>
    <x v="0"/>
    <x v="3"/>
    <x v="3"/>
    <x v="2"/>
    <x v="108"/>
    <x v="0"/>
    <x v="7"/>
    <x v="0"/>
    <n v="40630"/>
  </r>
  <r>
    <s v="CSKU03820_3EK"/>
    <x v="0"/>
    <x v="1"/>
    <x v="0"/>
    <x v="3"/>
    <x v="1"/>
    <x v="2"/>
    <x v="14"/>
    <x v="0"/>
    <x v="7"/>
    <x v="0"/>
    <n v="37160"/>
  </r>
  <r>
    <s v="CSKU03821_3EK"/>
    <x v="0"/>
    <x v="1"/>
    <x v="0"/>
    <x v="3"/>
    <x v="3"/>
    <x v="1"/>
    <x v="14"/>
    <x v="0"/>
    <x v="6"/>
    <x v="0"/>
    <n v="36160"/>
  </r>
  <r>
    <s v="CSKU03822_3EK"/>
    <x v="0"/>
    <x v="1"/>
    <x v="0"/>
    <x v="3"/>
    <x v="3"/>
    <x v="2"/>
    <x v="14"/>
    <x v="0"/>
    <x v="7"/>
    <x v="0"/>
    <n v="40630"/>
  </r>
  <r>
    <s v="CSKU03823_3EK"/>
    <x v="0"/>
    <x v="1"/>
    <x v="0"/>
    <x v="2"/>
    <x v="1"/>
    <x v="1"/>
    <x v="14"/>
    <x v="0"/>
    <x v="6"/>
    <x v="0"/>
    <n v="38870"/>
  </r>
  <r>
    <s v="CSKU03824_3EK"/>
    <x v="0"/>
    <x v="1"/>
    <x v="0"/>
    <x v="2"/>
    <x v="1"/>
    <x v="2"/>
    <x v="14"/>
    <x v="0"/>
    <x v="7"/>
    <x v="0"/>
    <n v="42250"/>
  </r>
  <r>
    <s v="CSKU03825_3EK"/>
    <x v="0"/>
    <x v="1"/>
    <x v="0"/>
    <x v="2"/>
    <x v="3"/>
    <x v="1"/>
    <x v="14"/>
    <x v="0"/>
    <x v="6"/>
    <x v="0"/>
    <n v="41400"/>
  </r>
  <r>
    <s v="CSKU03455_3EK"/>
    <x v="0"/>
    <x v="1"/>
    <x v="0"/>
    <x v="1"/>
    <x v="1"/>
    <x v="1"/>
    <x v="109"/>
    <x v="0"/>
    <x v="6"/>
    <x v="0"/>
    <n v="29050"/>
  </r>
  <r>
    <s v="CSKU03456_3EK"/>
    <x v="0"/>
    <x v="1"/>
    <x v="0"/>
    <x v="1"/>
    <x v="1"/>
    <x v="2"/>
    <x v="109"/>
    <x v="0"/>
    <x v="7"/>
    <x v="0"/>
    <n v="32250"/>
  </r>
  <r>
    <s v="CSKU03457_3EK"/>
    <x v="0"/>
    <x v="1"/>
    <x v="0"/>
    <x v="1"/>
    <x v="3"/>
    <x v="1"/>
    <x v="109"/>
    <x v="0"/>
    <x v="6"/>
    <x v="0"/>
    <n v="30900"/>
  </r>
  <r>
    <s v="CSKU03458_3EK"/>
    <x v="0"/>
    <x v="1"/>
    <x v="0"/>
    <x v="1"/>
    <x v="3"/>
    <x v="2"/>
    <x v="109"/>
    <x v="0"/>
    <x v="7"/>
    <x v="0"/>
    <n v="35110"/>
  </r>
  <r>
    <s v="CSKU03459_3EK"/>
    <x v="0"/>
    <x v="1"/>
    <x v="0"/>
    <x v="3"/>
    <x v="1"/>
    <x v="1"/>
    <x v="109"/>
    <x v="0"/>
    <x v="6"/>
    <x v="0"/>
    <n v="33950"/>
  </r>
  <r>
    <s v="CSKU03460_3EK"/>
    <x v="0"/>
    <x v="1"/>
    <x v="0"/>
    <x v="3"/>
    <x v="1"/>
    <x v="2"/>
    <x v="109"/>
    <x v="0"/>
    <x v="7"/>
    <x v="0"/>
    <n v="37160"/>
  </r>
  <r>
    <s v="CSKU03461_3EK"/>
    <x v="0"/>
    <x v="1"/>
    <x v="0"/>
    <x v="3"/>
    <x v="3"/>
    <x v="1"/>
    <x v="109"/>
    <x v="0"/>
    <x v="6"/>
    <x v="0"/>
    <n v="36160"/>
  </r>
  <r>
    <s v="CSKU03462_3EK"/>
    <x v="0"/>
    <x v="1"/>
    <x v="0"/>
    <x v="3"/>
    <x v="3"/>
    <x v="2"/>
    <x v="109"/>
    <x v="0"/>
    <x v="7"/>
    <x v="0"/>
    <n v="40630"/>
  </r>
  <r>
    <s v="CSKU03185_3EK"/>
    <x v="0"/>
    <x v="1"/>
    <x v="0"/>
    <x v="1"/>
    <x v="1"/>
    <x v="1"/>
    <x v="110"/>
    <x v="0"/>
    <x v="6"/>
    <x v="0"/>
    <n v="29050"/>
  </r>
  <r>
    <s v="CSKU03186_3EK"/>
    <x v="0"/>
    <x v="1"/>
    <x v="0"/>
    <x v="1"/>
    <x v="1"/>
    <x v="2"/>
    <x v="110"/>
    <x v="0"/>
    <x v="7"/>
    <x v="0"/>
    <n v="32250"/>
  </r>
  <r>
    <s v="CSKU03187_3EK"/>
    <x v="0"/>
    <x v="1"/>
    <x v="0"/>
    <x v="1"/>
    <x v="3"/>
    <x v="1"/>
    <x v="110"/>
    <x v="0"/>
    <x v="6"/>
    <x v="0"/>
    <n v="30900"/>
  </r>
  <r>
    <s v="CSKU03188_3EK"/>
    <x v="0"/>
    <x v="1"/>
    <x v="0"/>
    <x v="1"/>
    <x v="3"/>
    <x v="2"/>
    <x v="110"/>
    <x v="0"/>
    <x v="7"/>
    <x v="0"/>
    <n v="35110"/>
  </r>
  <r>
    <s v="CSKU03189_3EK"/>
    <x v="0"/>
    <x v="1"/>
    <x v="0"/>
    <x v="3"/>
    <x v="1"/>
    <x v="1"/>
    <x v="110"/>
    <x v="0"/>
    <x v="6"/>
    <x v="0"/>
    <n v="33950"/>
  </r>
  <r>
    <s v="CSKU03463_3EK"/>
    <x v="0"/>
    <x v="1"/>
    <x v="0"/>
    <x v="2"/>
    <x v="1"/>
    <x v="1"/>
    <x v="109"/>
    <x v="0"/>
    <x v="6"/>
    <x v="0"/>
    <n v="38870"/>
  </r>
  <r>
    <s v="CSKU03464_3EK"/>
    <x v="0"/>
    <x v="1"/>
    <x v="0"/>
    <x v="2"/>
    <x v="1"/>
    <x v="2"/>
    <x v="109"/>
    <x v="0"/>
    <x v="7"/>
    <x v="0"/>
    <n v="42250"/>
  </r>
  <r>
    <s v="CSKU03465_3EK"/>
    <x v="0"/>
    <x v="1"/>
    <x v="0"/>
    <x v="2"/>
    <x v="3"/>
    <x v="1"/>
    <x v="109"/>
    <x v="0"/>
    <x v="6"/>
    <x v="0"/>
    <n v="41400"/>
  </r>
  <r>
    <s v="CSKU03466_3EK"/>
    <x v="0"/>
    <x v="1"/>
    <x v="0"/>
    <x v="2"/>
    <x v="3"/>
    <x v="2"/>
    <x v="109"/>
    <x v="0"/>
    <x v="7"/>
    <x v="0"/>
    <n v="46040"/>
  </r>
  <r>
    <s v="CSKU03467_3EK"/>
    <x v="0"/>
    <x v="1"/>
    <x v="1"/>
    <x v="1"/>
    <x v="1"/>
    <x v="1"/>
    <x v="109"/>
    <x v="1"/>
    <x v="6"/>
    <x v="0"/>
    <n v="27730"/>
  </r>
  <r>
    <s v="CSKU03468_3EK"/>
    <x v="0"/>
    <x v="1"/>
    <x v="1"/>
    <x v="1"/>
    <x v="1"/>
    <x v="2"/>
    <x v="109"/>
    <x v="1"/>
    <x v="7"/>
    <x v="0"/>
    <n v="30600"/>
  </r>
  <r>
    <s v="CSKU03469_3EK"/>
    <x v="0"/>
    <x v="1"/>
    <x v="1"/>
    <x v="1"/>
    <x v="3"/>
    <x v="1"/>
    <x v="109"/>
    <x v="1"/>
    <x v="6"/>
    <x v="0"/>
    <n v="29550"/>
  </r>
  <r>
    <s v="CSKU03470_3EK"/>
    <x v="0"/>
    <x v="1"/>
    <x v="1"/>
    <x v="1"/>
    <x v="3"/>
    <x v="2"/>
    <x v="109"/>
    <x v="1"/>
    <x v="7"/>
    <x v="0"/>
    <n v="33320"/>
  </r>
  <r>
    <s v="CSKU03471_3EK"/>
    <x v="0"/>
    <x v="1"/>
    <x v="1"/>
    <x v="3"/>
    <x v="1"/>
    <x v="1"/>
    <x v="109"/>
    <x v="1"/>
    <x v="6"/>
    <x v="0"/>
    <n v="32560"/>
  </r>
  <r>
    <s v="CSKU03095_3EK"/>
    <x v="0"/>
    <x v="1"/>
    <x v="0"/>
    <x v="1"/>
    <x v="1"/>
    <x v="1"/>
    <x v="13"/>
    <x v="0"/>
    <x v="6"/>
    <x v="0"/>
    <n v="29050"/>
  </r>
  <r>
    <s v="CSKU03190_3EK"/>
    <x v="0"/>
    <x v="1"/>
    <x v="0"/>
    <x v="3"/>
    <x v="1"/>
    <x v="2"/>
    <x v="110"/>
    <x v="0"/>
    <x v="7"/>
    <x v="0"/>
    <n v="37160"/>
  </r>
  <r>
    <s v="CSKU03472_3EK"/>
    <x v="0"/>
    <x v="1"/>
    <x v="1"/>
    <x v="3"/>
    <x v="1"/>
    <x v="2"/>
    <x v="109"/>
    <x v="1"/>
    <x v="7"/>
    <x v="0"/>
    <n v="35430"/>
  </r>
  <r>
    <s v="CSKU03473_3EK"/>
    <x v="0"/>
    <x v="1"/>
    <x v="1"/>
    <x v="3"/>
    <x v="3"/>
    <x v="1"/>
    <x v="109"/>
    <x v="1"/>
    <x v="6"/>
    <x v="0"/>
    <n v="34740"/>
  </r>
  <r>
    <s v="CSKU03474_3EK"/>
    <x v="0"/>
    <x v="1"/>
    <x v="1"/>
    <x v="3"/>
    <x v="3"/>
    <x v="2"/>
    <x v="109"/>
    <x v="1"/>
    <x v="7"/>
    <x v="0"/>
    <n v="38730"/>
  </r>
  <r>
    <s v="CSKU03475_3EK"/>
    <x v="0"/>
    <x v="1"/>
    <x v="1"/>
    <x v="2"/>
    <x v="1"/>
    <x v="1"/>
    <x v="109"/>
    <x v="1"/>
    <x v="6"/>
    <x v="0"/>
    <n v="37390"/>
  </r>
  <r>
    <s v="CSKU03476_3EK"/>
    <x v="0"/>
    <x v="1"/>
    <x v="1"/>
    <x v="2"/>
    <x v="1"/>
    <x v="2"/>
    <x v="109"/>
    <x v="1"/>
    <x v="7"/>
    <x v="0"/>
    <n v="40400"/>
  </r>
  <r>
    <s v="CSKU03477_3EK"/>
    <x v="0"/>
    <x v="1"/>
    <x v="1"/>
    <x v="2"/>
    <x v="3"/>
    <x v="1"/>
    <x v="109"/>
    <x v="1"/>
    <x v="6"/>
    <x v="0"/>
    <n v="39890"/>
  </r>
  <r>
    <s v="CSKU03478_3EK"/>
    <x v="0"/>
    <x v="1"/>
    <x v="1"/>
    <x v="2"/>
    <x v="3"/>
    <x v="2"/>
    <x v="109"/>
    <x v="1"/>
    <x v="7"/>
    <x v="0"/>
    <n v="44020"/>
  </r>
  <r>
    <s v="CSKU03191_3EK"/>
    <x v="0"/>
    <x v="1"/>
    <x v="0"/>
    <x v="3"/>
    <x v="3"/>
    <x v="1"/>
    <x v="110"/>
    <x v="0"/>
    <x v="6"/>
    <x v="0"/>
    <n v="36160"/>
  </r>
  <r>
    <s v="CSKU03192_3EK"/>
    <x v="0"/>
    <x v="1"/>
    <x v="0"/>
    <x v="3"/>
    <x v="3"/>
    <x v="2"/>
    <x v="110"/>
    <x v="0"/>
    <x v="7"/>
    <x v="0"/>
    <n v="40630"/>
  </r>
  <r>
    <s v="CSKU03193_3EK"/>
    <x v="0"/>
    <x v="1"/>
    <x v="0"/>
    <x v="2"/>
    <x v="1"/>
    <x v="1"/>
    <x v="110"/>
    <x v="0"/>
    <x v="6"/>
    <x v="0"/>
    <n v="38870"/>
  </r>
  <r>
    <s v="CSKU03194_3EK"/>
    <x v="0"/>
    <x v="1"/>
    <x v="0"/>
    <x v="2"/>
    <x v="1"/>
    <x v="2"/>
    <x v="110"/>
    <x v="0"/>
    <x v="7"/>
    <x v="0"/>
    <n v="42250"/>
  </r>
  <r>
    <s v="CSKU03195_3EK"/>
    <x v="0"/>
    <x v="1"/>
    <x v="0"/>
    <x v="2"/>
    <x v="3"/>
    <x v="1"/>
    <x v="110"/>
    <x v="0"/>
    <x v="6"/>
    <x v="0"/>
    <n v="41400"/>
  </r>
  <r>
    <s v="CSKU03196_3EK"/>
    <x v="0"/>
    <x v="1"/>
    <x v="0"/>
    <x v="2"/>
    <x v="3"/>
    <x v="2"/>
    <x v="110"/>
    <x v="0"/>
    <x v="7"/>
    <x v="0"/>
    <n v="46040"/>
  </r>
  <r>
    <s v="CSKU03197_3EK"/>
    <x v="0"/>
    <x v="1"/>
    <x v="1"/>
    <x v="1"/>
    <x v="1"/>
    <x v="1"/>
    <x v="110"/>
    <x v="1"/>
    <x v="6"/>
    <x v="0"/>
    <n v="27730"/>
  </r>
  <r>
    <s v="CSKU03198_3EK"/>
    <x v="0"/>
    <x v="1"/>
    <x v="1"/>
    <x v="1"/>
    <x v="1"/>
    <x v="2"/>
    <x v="110"/>
    <x v="1"/>
    <x v="7"/>
    <x v="0"/>
    <n v="30600"/>
  </r>
  <r>
    <s v="CSKU03199_3EK"/>
    <x v="0"/>
    <x v="1"/>
    <x v="1"/>
    <x v="1"/>
    <x v="3"/>
    <x v="1"/>
    <x v="110"/>
    <x v="1"/>
    <x v="6"/>
    <x v="0"/>
    <n v="29550"/>
  </r>
  <r>
    <s v="CSKU02649_3EK"/>
    <x v="0"/>
    <x v="1"/>
    <x v="0"/>
    <x v="3"/>
    <x v="1"/>
    <x v="1"/>
    <x v="103"/>
    <x v="0"/>
    <x v="6"/>
    <x v="0"/>
    <n v="26930"/>
  </r>
  <r>
    <s v="CSKU02650_3EK"/>
    <x v="0"/>
    <x v="1"/>
    <x v="0"/>
    <x v="3"/>
    <x v="1"/>
    <x v="2"/>
    <x v="103"/>
    <x v="0"/>
    <x v="7"/>
    <x v="0"/>
    <n v="30140"/>
  </r>
  <r>
    <s v="CSKU02651_3EK"/>
    <x v="0"/>
    <x v="1"/>
    <x v="0"/>
    <x v="3"/>
    <x v="3"/>
    <x v="1"/>
    <x v="103"/>
    <x v="0"/>
    <x v="6"/>
    <x v="0"/>
    <n v="28700"/>
  </r>
  <r>
    <s v="CSKU02652_3EK"/>
    <x v="0"/>
    <x v="1"/>
    <x v="0"/>
    <x v="3"/>
    <x v="3"/>
    <x v="2"/>
    <x v="103"/>
    <x v="0"/>
    <x v="7"/>
    <x v="0"/>
    <n v="33170"/>
  </r>
  <r>
    <s v="CSKU02653_3EK"/>
    <x v="0"/>
    <x v="1"/>
    <x v="0"/>
    <x v="2"/>
    <x v="1"/>
    <x v="1"/>
    <x v="103"/>
    <x v="0"/>
    <x v="6"/>
    <x v="0"/>
    <n v="30420"/>
  </r>
  <r>
    <s v="CSKU02654_3EK"/>
    <x v="0"/>
    <x v="1"/>
    <x v="0"/>
    <x v="2"/>
    <x v="1"/>
    <x v="2"/>
    <x v="103"/>
    <x v="0"/>
    <x v="7"/>
    <x v="0"/>
    <n v="33800"/>
  </r>
  <r>
    <s v="CSKU02655_3EK"/>
    <x v="0"/>
    <x v="1"/>
    <x v="0"/>
    <x v="2"/>
    <x v="3"/>
    <x v="1"/>
    <x v="103"/>
    <x v="0"/>
    <x v="6"/>
    <x v="0"/>
    <n v="32130"/>
  </r>
  <r>
    <s v="CSKU02656_3EK"/>
    <x v="0"/>
    <x v="1"/>
    <x v="0"/>
    <x v="2"/>
    <x v="3"/>
    <x v="2"/>
    <x v="103"/>
    <x v="0"/>
    <x v="7"/>
    <x v="0"/>
    <n v="36770"/>
  </r>
  <r>
    <s v="CSKU02657_3EK"/>
    <x v="0"/>
    <x v="1"/>
    <x v="1"/>
    <x v="1"/>
    <x v="1"/>
    <x v="1"/>
    <x v="103"/>
    <x v="1"/>
    <x v="6"/>
    <x v="0"/>
    <n v="21280"/>
  </r>
  <r>
    <s v="CSKU02658_3EK"/>
    <x v="0"/>
    <x v="1"/>
    <x v="1"/>
    <x v="1"/>
    <x v="1"/>
    <x v="2"/>
    <x v="103"/>
    <x v="1"/>
    <x v="7"/>
    <x v="0"/>
    <n v="24150"/>
  </r>
  <r>
    <s v="CSKU02659_3EK"/>
    <x v="0"/>
    <x v="1"/>
    <x v="1"/>
    <x v="1"/>
    <x v="3"/>
    <x v="1"/>
    <x v="103"/>
    <x v="1"/>
    <x v="6"/>
    <x v="0"/>
    <n v="22640"/>
  </r>
  <r>
    <s v="CSKU02923_3EK"/>
    <x v="0"/>
    <x v="1"/>
    <x v="0"/>
    <x v="2"/>
    <x v="1"/>
    <x v="1"/>
    <x v="108"/>
    <x v="0"/>
    <x v="6"/>
    <x v="0"/>
    <n v="38870"/>
  </r>
  <r>
    <s v="CSKU03200_3EK"/>
    <x v="0"/>
    <x v="1"/>
    <x v="1"/>
    <x v="1"/>
    <x v="3"/>
    <x v="2"/>
    <x v="110"/>
    <x v="1"/>
    <x v="7"/>
    <x v="0"/>
    <n v="33320"/>
  </r>
  <r>
    <s v="CSKU02924_3EK"/>
    <x v="0"/>
    <x v="1"/>
    <x v="0"/>
    <x v="2"/>
    <x v="1"/>
    <x v="2"/>
    <x v="108"/>
    <x v="0"/>
    <x v="7"/>
    <x v="0"/>
    <n v="42250"/>
  </r>
  <r>
    <s v="CSKU02925_3EK"/>
    <x v="0"/>
    <x v="1"/>
    <x v="0"/>
    <x v="2"/>
    <x v="3"/>
    <x v="1"/>
    <x v="108"/>
    <x v="0"/>
    <x v="6"/>
    <x v="0"/>
    <n v="41400"/>
  </r>
  <r>
    <s v="CSKU02926_3EK"/>
    <x v="0"/>
    <x v="1"/>
    <x v="0"/>
    <x v="2"/>
    <x v="3"/>
    <x v="2"/>
    <x v="108"/>
    <x v="0"/>
    <x v="7"/>
    <x v="0"/>
    <n v="46040"/>
  </r>
  <r>
    <s v="CSKU02927_3EK"/>
    <x v="0"/>
    <x v="1"/>
    <x v="1"/>
    <x v="1"/>
    <x v="1"/>
    <x v="1"/>
    <x v="108"/>
    <x v="1"/>
    <x v="6"/>
    <x v="0"/>
    <n v="27730"/>
  </r>
  <r>
    <s v="CSKU02928_3EK"/>
    <x v="0"/>
    <x v="1"/>
    <x v="1"/>
    <x v="1"/>
    <x v="1"/>
    <x v="2"/>
    <x v="108"/>
    <x v="1"/>
    <x v="7"/>
    <x v="0"/>
    <n v="30600"/>
  </r>
  <r>
    <s v="CSKU02929_3EK"/>
    <x v="0"/>
    <x v="1"/>
    <x v="1"/>
    <x v="1"/>
    <x v="3"/>
    <x v="1"/>
    <x v="108"/>
    <x v="1"/>
    <x v="6"/>
    <x v="0"/>
    <n v="29550"/>
  </r>
  <r>
    <s v="CSKU02930_3EK"/>
    <x v="0"/>
    <x v="1"/>
    <x v="1"/>
    <x v="1"/>
    <x v="3"/>
    <x v="2"/>
    <x v="108"/>
    <x v="1"/>
    <x v="7"/>
    <x v="0"/>
    <n v="33320"/>
  </r>
  <r>
    <s v="CSKU02931_3EK"/>
    <x v="0"/>
    <x v="1"/>
    <x v="1"/>
    <x v="3"/>
    <x v="1"/>
    <x v="1"/>
    <x v="108"/>
    <x v="1"/>
    <x v="6"/>
    <x v="0"/>
    <n v="32560"/>
  </r>
  <r>
    <s v="CSKU02932_3EK"/>
    <x v="0"/>
    <x v="1"/>
    <x v="1"/>
    <x v="3"/>
    <x v="1"/>
    <x v="2"/>
    <x v="108"/>
    <x v="1"/>
    <x v="7"/>
    <x v="0"/>
    <n v="35430"/>
  </r>
  <r>
    <s v="CSKU02933_3EK"/>
    <x v="0"/>
    <x v="1"/>
    <x v="1"/>
    <x v="3"/>
    <x v="3"/>
    <x v="1"/>
    <x v="108"/>
    <x v="1"/>
    <x v="6"/>
    <x v="0"/>
    <n v="34740"/>
  </r>
  <r>
    <s v="CSKU03201_3EK"/>
    <x v="0"/>
    <x v="1"/>
    <x v="1"/>
    <x v="3"/>
    <x v="1"/>
    <x v="1"/>
    <x v="110"/>
    <x v="1"/>
    <x v="6"/>
    <x v="0"/>
    <n v="32560"/>
  </r>
  <r>
    <s v="CSKU03202_3EK"/>
    <x v="0"/>
    <x v="1"/>
    <x v="1"/>
    <x v="3"/>
    <x v="1"/>
    <x v="2"/>
    <x v="110"/>
    <x v="1"/>
    <x v="7"/>
    <x v="0"/>
    <n v="35430"/>
  </r>
  <r>
    <s v="CSKU03203_3EK"/>
    <x v="0"/>
    <x v="1"/>
    <x v="1"/>
    <x v="3"/>
    <x v="3"/>
    <x v="1"/>
    <x v="110"/>
    <x v="1"/>
    <x v="6"/>
    <x v="0"/>
    <n v="34740"/>
  </r>
  <r>
    <s v="CSKU03204_3EK"/>
    <x v="0"/>
    <x v="1"/>
    <x v="1"/>
    <x v="3"/>
    <x v="3"/>
    <x v="2"/>
    <x v="110"/>
    <x v="1"/>
    <x v="7"/>
    <x v="0"/>
    <n v="38730"/>
  </r>
  <r>
    <s v="CSKU03205_3EK"/>
    <x v="0"/>
    <x v="1"/>
    <x v="1"/>
    <x v="2"/>
    <x v="1"/>
    <x v="1"/>
    <x v="110"/>
    <x v="1"/>
    <x v="6"/>
    <x v="0"/>
    <n v="37390"/>
  </r>
  <r>
    <s v="CSKU03206_3EK"/>
    <x v="0"/>
    <x v="1"/>
    <x v="1"/>
    <x v="2"/>
    <x v="1"/>
    <x v="2"/>
    <x v="110"/>
    <x v="1"/>
    <x v="7"/>
    <x v="0"/>
    <n v="40400"/>
  </r>
  <r>
    <s v="CSKU03207_3EK"/>
    <x v="0"/>
    <x v="1"/>
    <x v="1"/>
    <x v="2"/>
    <x v="3"/>
    <x v="1"/>
    <x v="110"/>
    <x v="1"/>
    <x v="6"/>
    <x v="0"/>
    <n v="39890"/>
  </r>
  <r>
    <s v="CSKU03208_3EK"/>
    <x v="0"/>
    <x v="1"/>
    <x v="1"/>
    <x v="2"/>
    <x v="3"/>
    <x v="2"/>
    <x v="110"/>
    <x v="1"/>
    <x v="7"/>
    <x v="0"/>
    <n v="44020"/>
  </r>
  <r>
    <s v="CSKU02840_3EK"/>
    <x v="0"/>
    <x v="1"/>
    <x v="1"/>
    <x v="1"/>
    <x v="3"/>
    <x v="2"/>
    <x v="12"/>
    <x v="1"/>
    <x v="7"/>
    <x v="0"/>
    <n v="33320"/>
  </r>
  <r>
    <s v="CSKU02934_3EK"/>
    <x v="0"/>
    <x v="1"/>
    <x v="1"/>
    <x v="3"/>
    <x v="3"/>
    <x v="2"/>
    <x v="108"/>
    <x v="1"/>
    <x v="7"/>
    <x v="0"/>
    <n v="38730"/>
  </r>
  <r>
    <s v="CSKU02935_3EK"/>
    <x v="0"/>
    <x v="1"/>
    <x v="1"/>
    <x v="2"/>
    <x v="1"/>
    <x v="1"/>
    <x v="108"/>
    <x v="1"/>
    <x v="6"/>
    <x v="0"/>
    <n v="37390"/>
  </r>
  <r>
    <s v="CSKU02936_3EK"/>
    <x v="0"/>
    <x v="1"/>
    <x v="1"/>
    <x v="2"/>
    <x v="1"/>
    <x v="2"/>
    <x v="108"/>
    <x v="1"/>
    <x v="7"/>
    <x v="0"/>
    <n v="40400"/>
  </r>
  <r>
    <s v="CSKU02937_3EK"/>
    <x v="0"/>
    <x v="1"/>
    <x v="1"/>
    <x v="2"/>
    <x v="3"/>
    <x v="1"/>
    <x v="108"/>
    <x v="1"/>
    <x v="6"/>
    <x v="0"/>
    <n v="39890"/>
  </r>
  <r>
    <s v="CSKU02938_3EK"/>
    <x v="0"/>
    <x v="1"/>
    <x v="1"/>
    <x v="2"/>
    <x v="3"/>
    <x v="2"/>
    <x v="108"/>
    <x v="1"/>
    <x v="7"/>
    <x v="0"/>
    <n v="44020"/>
  </r>
  <r>
    <s v="CSKU02660_3EK"/>
    <x v="0"/>
    <x v="1"/>
    <x v="1"/>
    <x v="1"/>
    <x v="3"/>
    <x v="2"/>
    <x v="103"/>
    <x v="1"/>
    <x v="7"/>
    <x v="0"/>
    <n v="26410"/>
  </r>
  <r>
    <s v="CSKU02661_3EK"/>
    <x v="0"/>
    <x v="1"/>
    <x v="1"/>
    <x v="3"/>
    <x v="1"/>
    <x v="1"/>
    <x v="103"/>
    <x v="1"/>
    <x v="6"/>
    <x v="0"/>
    <n v="24580"/>
  </r>
  <r>
    <s v="CSKU02662_3EK"/>
    <x v="0"/>
    <x v="1"/>
    <x v="1"/>
    <x v="3"/>
    <x v="1"/>
    <x v="2"/>
    <x v="103"/>
    <x v="1"/>
    <x v="7"/>
    <x v="0"/>
    <n v="27450"/>
  </r>
  <r>
    <s v="CSKU02663_3EK"/>
    <x v="0"/>
    <x v="1"/>
    <x v="1"/>
    <x v="3"/>
    <x v="3"/>
    <x v="1"/>
    <x v="103"/>
    <x v="1"/>
    <x v="6"/>
    <x v="0"/>
    <n v="26180"/>
  </r>
  <r>
    <s v="CSKU02664_3EK"/>
    <x v="0"/>
    <x v="1"/>
    <x v="1"/>
    <x v="3"/>
    <x v="3"/>
    <x v="2"/>
    <x v="103"/>
    <x v="1"/>
    <x v="7"/>
    <x v="0"/>
    <n v="30170"/>
  </r>
  <r>
    <s v="CSKU02665_3EK"/>
    <x v="0"/>
    <x v="1"/>
    <x v="1"/>
    <x v="2"/>
    <x v="1"/>
    <x v="1"/>
    <x v="103"/>
    <x v="1"/>
    <x v="6"/>
    <x v="0"/>
    <n v="27760"/>
  </r>
  <r>
    <s v="CSKU02666_3EK"/>
    <x v="0"/>
    <x v="1"/>
    <x v="1"/>
    <x v="2"/>
    <x v="1"/>
    <x v="2"/>
    <x v="103"/>
    <x v="1"/>
    <x v="7"/>
    <x v="0"/>
    <n v="30770"/>
  </r>
  <r>
    <s v="CSKU02667_3EK"/>
    <x v="0"/>
    <x v="1"/>
    <x v="1"/>
    <x v="2"/>
    <x v="3"/>
    <x v="1"/>
    <x v="103"/>
    <x v="1"/>
    <x v="6"/>
    <x v="0"/>
    <n v="29360"/>
  </r>
  <r>
    <s v="CSKU02668_3EK"/>
    <x v="0"/>
    <x v="1"/>
    <x v="1"/>
    <x v="2"/>
    <x v="3"/>
    <x v="2"/>
    <x v="103"/>
    <x v="1"/>
    <x v="7"/>
    <x v="0"/>
    <n v="33490"/>
  </r>
  <r>
    <s v="CSKU02825_3EK"/>
    <x v="0"/>
    <x v="1"/>
    <x v="0"/>
    <x v="1"/>
    <x v="1"/>
    <x v="1"/>
    <x v="12"/>
    <x v="0"/>
    <x v="6"/>
    <x v="0"/>
    <n v="29050"/>
  </r>
  <r>
    <s v="CSKU02826_3EK"/>
    <x v="0"/>
    <x v="1"/>
    <x v="0"/>
    <x v="1"/>
    <x v="1"/>
    <x v="2"/>
    <x v="12"/>
    <x v="0"/>
    <x v="7"/>
    <x v="0"/>
    <n v="32250"/>
  </r>
  <r>
    <s v="CSKU02827_3EK"/>
    <x v="0"/>
    <x v="1"/>
    <x v="0"/>
    <x v="1"/>
    <x v="3"/>
    <x v="1"/>
    <x v="12"/>
    <x v="0"/>
    <x v="6"/>
    <x v="0"/>
    <n v="30900"/>
  </r>
  <r>
    <s v="CSKU02828_3EK"/>
    <x v="0"/>
    <x v="1"/>
    <x v="0"/>
    <x v="1"/>
    <x v="3"/>
    <x v="2"/>
    <x v="12"/>
    <x v="0"/>
    <x v="7"/>
    <x v="0"/>
    <n v="35110"/>
  </r>
  <r>
    <s v="CSKU02829_3EK"/>
    <x v="0"/>
    <x v="1"/>
    <x v="0"/>
    <x v="3"/>
    <x v="1"/>
    <x v="1"/>
    <x v="12"/>
    <x v="0"/>
    <x v="6"/>
    <x v="0"/>
    <n v="33950"/>
  </r>
  <r>
    <s v="CSKU02106_2EK"/>
    <x v="0"/>
    <x v="0"/>
    <x v="0"/>
    <x v="4"/>
    <x v="1"/>
    <x v="1"/>
    <x v="9"/>
    <x v="0"/>
    <x v="4"/>
    <x v="0"/>
    <n v="20860"/>
  </r>
  <r>
    <s v="CSKU02467_3EK"/>
    <x v="0"/>
    <x v="1"/>
    <x v="0"/>
    <x v="1"/>
    <x v="1"/>
    <x v="1"/>
    <x v="111"/>
    <x v="0"/>
    <x v="6"/>
    <x v="0"/>
    <n v="23880"/>
  </r>
  <r>
    <s v="CSKU02468_3EK"/>
    <x v="0"/>
    <x v="1"/>
    <x v="0"/>
    <x v="1"/>
    <x v="1"/>
    <x v="2"/>
    <x v="111"/>
    <x v="0"/>
    <x v="7"/>
    <x v="0"/>
    <n v="27080"/>
  </r>
  <r>
    <s v="CSKU02469_3EK"/>
    <x v="0"/>
    <x v="1"/>
    <x v="0"/>
    <x v="1"/>
    <x v="3"/>
    <x v="1"/>
    <x v="111"/>
    <x v="0"/>
    <x v="6"/>
    <x v="0"/>
    <n v="25460"/>
  </r>
  <r>
    <s v="CSKU02470_3EK"/>
    <x v="0"/>
    <x v="1"/>
    <x v="0"/>
    <x v="1"/>
    <x v="3"/>
    <x v="2"/>
    <x v="111"/>
    <x v="0"/>
    <x v="7"/>
    <x v="0"/>
    <n v="29670"/>
  </r>
  <r>
    <s v="CSKU02471_3EK"/>
    <x v="0"/>
    <x v="1"/>
    <x v="0"/>
    <x v="3"/>
    <x v="1"/>
    <x v="1"/>
    <x v="111"/>
    <x v="0"/>
    <x v="6"/>
    <x v="0"/>
    <n v="27200"/>
  </r>
  <r>
    <s v="CSKU02472_3EK"/>
    <x v="0"/>
    <x v="1"/>
    <x v="0"/>
    <x v="3"/>
    <x v="1"/>
    <x v="2"/>
    <x v="111"/>
    <x v="0"/>
    <x v="7"/>
    <x v="0"/>
    <n v="30410"/>
  </r>
  <r>
    <s v="CSKU02556_3EK"/>
    <x v="0"/>
    <x v="1"/>
    <x v="0"/>
    <x v="1"/>
    <x v="1"/>
    <x v="1"/>
    <x v="11"/>
    <x v="0"/>
    <x v="6"/>
    <x v="0"/>
    <n v="22840"/>
  </r>
  <r>
    <s v="CSKU02830_3EK"/>
    <x v="0"/>
    <x v="1"/>
    <x v="0"/>
    <x v="3"/>
    <x v="1"/>
    <x v="2"/>
    <x v="12"/>
    <x v="0"/>
    <x v="7"/>
    <x v="0"/>
    <n v="37160"/>
  </r>
  <r>
    <s v="CSKU02473_3EK"/>
    <x v="0"/>
    <x v="1"/>
    <x v="0"/>
    <x v="3"/>
    <x v="3"/>
    <x v="1"/>
    <x v="111"/>
    <x v="0"/>
    <x v="6"/>
    <x v="0"/>
    <n v="28910"/>
  </r>
  <r>
    <s v="CSKU02474_3EK"/>
    <x v="0"/>
    <x v="1"/>
    <x v="0"/>
    <x v="3"/>
    <x v="3"/>
    <x v="2"/>
    <x v="111"/>
    <x v="0"/>
    <x v="7"/>
    <x v="0"/>
    <n v="33380"/>
  </r>
  <r>
    <s v="CSKU02475_3EK"/>
    <x v="0"/>
    <x v="1"/>
    <x v="0"/>
    <x v="2"/>
    <x v="1"/>
    <x v="1"/>
    <x v="111"/>
    <x v="0"/>
    <x v="6"/>
    <x v="0"/>
    <n v="30740"/>
  </r>
  <r>
    <s v="CSKU02476_3EK"/>
    <x v="0"/>
    <x v="1"/>
    <x v="0"/>
    <x v="2"/>
    <x v="1"/>
    <x v="2"/>
    <x v="111"/>
    <x v="0"/>
    <x v="7"/>
    <x v="0"/>
    <n v="34120"/>
  </r>
  <r>
    <s v="CSKU02477_3EK"/>
    <x v="0"/>
    <x v="1"/>
    <x v="0"/>
    <x v="2"/>
    <x v="3"/>
    <x v="1"/>
    <x v="111"/>
    <x v="0"/>
    <x v="6"/>
    <x v="0"/>
    <n v="32400"/>
  </r>
  <r>
    <s v="CSKU02478_3EK"/>
    <x v="0"/>
    <x v="1"/>
    <x v="0"/>
    <x v="2"/>
    <x v="3"/>
    <x v="2"/>
    <x v="111"/>
    <x v="0"/>
    <x v="7"/>
    <x v="0"/>
    <n v="37040"/>
  </r>
  <r>
    <s v="CSKU02479_3EK"/>
    <x v="0"/>
    <x v="1"/>
    <x v="1"/>
    <x v="1"/>
    <x v="1"/>
    <x v="1"/>
    <x v="111"/>
    <x v="1"/>
    <x v="6"/>
    <x v="0"/>
    <n v="22180"/>
  </r>
  <r>
    <s v="CSKU02480_3EK"/>
    <x v="0"/>
    <x v="1"/>
    <x v="1"/>
    <x v="1"/>
    <x v="1"/>
    <x v="2"/>
    <x v="111"/>
    <x v="1"/>
    <x v="7"/>
    <x v="0"/>
    <n v="25050"/>
  </r>
  <r>
    <s v="CSKU02481_3EK"/>
    <x v="0"/>
    <x v="1"/>
    <x v="1"/>
    <x v="1"/>
    <x v="3"/>
    <x v="1"/>
    <x v="111"/>
    <x v="1"/>
    <x v="6"/>
    <x v="0"/>
    <n v="23690"/>
  </r>
  <r>
    <s v="CSKU02482_3EK"/>
    <x v="0"/>
    <x v="1"/>
    <x v="1"/>
    <x v="1"/>
    <x v="3"/>
    <x v="2"/>
    <x v="111"/>
    <x v="1"/>
    <x v="7"/>
    <x v="0"/>
    <n v="27460"/>
  </r>
  <r>
    <s v="CSKU02483_3EK"/>
    <x v="0"/>
    <x v="1"/>
    <x v="1"/>
    <x v="3"/>
    <x v="1"/>
    <x v="1"/>
    <x v="111"/>
    <x v="1"/>
    <x v="6"/>
    <x v="0"/>
    <n v="25330"/>
  </r>
  <r>
    <s v="CSKU02557_3EK"/>
    <x v="0"/>
    <x v="1"/>
    <x v="0"/>
    <x v="1"/>
    <x v="1"/>
    <x v="2"/>
    <x v="11"/>
    <x v="0"/>
    <x v="7"/>
    <x v="0"/>
    <n v="26040"/>
  </r>
  <r>
    <s v="CSKU02558_3EK"/>
    <x v="0"/>
    <x v="1"/>
    <x v="0"/>
    <x v="1"/>
    <x v="3"/>
    <x v="1"/>
    <x v="11"/>
    <x v="0"/>
    <x v="6"/>
    <x v="0"/>
    <n v="24200"/>
  </r>
  <r>
    <s v="CSKU02559_3EK"/>
    <x v="0"/>
    <x v="1"/>
    <x v="0"/>
    <x v="1"/>
    <x v="3"/>
    <x v="2"/>
    <x v="11"/>
    <x v="0"/>
    <x v="7"/>
    <x v="0"/>
    <n v="28410"/>
  </r>
  <r>
    <s v="CSKU02560_3EK"/>
    <x v="0"/>
    <x v="1"/>
    <x v="0"/>
    <x v="3"/>
    <x v="1"/>
    <x v="1"/>
    <x v="11"/>
    <x v="0"/>
    <x v="6"/>
    <x v="0"/>
    <n v="26660"/>
  </r>
  <r>
    <s v="CSKU02561_3EK"/>
    <x v="0"/>
    <x v="1"/>
    <x v="0"/>
    <x v="3"/>
    <x v="1"/>
    <x v="2"/>
    <x v="11"/>
    <x v="0"/>
    <x v="7"/>
    <x v="0"/>
    <n v="29870"/>
  </r>
  <r>
    <s v="CSKU02562_3EK"/>
    <x v="0"/>
    <x v="1"/>
    <x v="0"/>
    <x v="3"/>
    <x v="3"/>
    <x v="1"/>
    <x v="11"/>
    <x v="0"/>
    <x v="6"/>
    <x v="0"/>
    <n v="28490"/>
  </r>
  <r>
    <s v="CSKU02563_3EK"/>
    <x v="0"/>
    <x v="1"/>
    <x v="0"/>
    <x v="3"/>
    <x v="3"/>
    <x v="2"/>
    <x v="11"/>
    <x v="0"/>
    <x v="7"/>
    <x v="0"/>
    <n v="32960"/>
  </r>
  <r>
    <s v="CSKU02564_3EK"/>
    <x v="0"/>
    <x v="1"/>
    <x v="0"/>
    <x v="2"/>
    <x v="1"/>
    <x v="1"/>
    <x v="11"/>
    <x v="0"/>
    <x v="6"/>
    <x v="0"/>
    <n v="30100"/>
  </r>
  <r>
    <s v="CSKU02565_3EK"/>
    <x v="0"/>
    <x v="1"/>
    <x v="0"/>
    <x v="2"/>
    <x v="1"/>
    <x v="2"/>
    <x v="11"/>
    <x v="0"/>
    <x v="7"/>
    <x v="0"/>
    <n v="33480"/>
  </r>
  <r>
    <s v="CSKU02566_3EK"/>
    <x v="0"/>
    <x v="1"/>
    <x v="0"/>
    <x v="2"/>
    <x v="3"/>
    <x v="1"/>
    <x v="11"/>
    <x v="0"/>
    <x v="6"/>
    <x v="0"/>
    <n v="31860"/>
  </r>
  <r>
    <s v="CSKU02567_3EK"/>
    <x v="0"/>
    <x v="1"/>
    <x v="0"/>
    <x v="2"/>
    <x v="3"/>
    <x v="2"/>
    <x v="11"/>
    <x v="0"/>
    <x v="7"/>
    <x v="0"/>
    <n v="36500"/>
  </r>
  <r>
    <s v="CSKU02568_3EK"/>
    <x v="0"/>
    <x v="1"/>
    <x v="1"/>
    <x v="1"/>
    <x v="1"/>
    <x v="1"/>
    <x v="11"/>
    <x v="1"/>
    <x v="6"/>
    <x v="0"/>
    <n v="20380"/>
  </r>
  <r>
    <s v="CSKU02577_3EK"/>
    <x v="0"/>
    <x v="1"/>
    <x v="1"/>
    <x v="2"/>
    <x v="1"/>
    <x v="2"/>
    <x v="11"/>
    <x v="1"/>
    <x v="7"/>
    <x v="0"/>
    <n v="29860"/>
  </r>
  <r>
    <s v="CSKU02831_3EK"/>
    <x v="0"/>
    <x v="1"/>
    <x v="0"/>
    <x v="3"/>
    <x v="3"/>
    <x v="1"/>
    <x v="12"/>
    <x v="0"/>
    <x v="6"/>
    <x v="0"/>
    <n v="36160"/>
  </r>
  <r>
    <s v="CSKU02832_3EK"/>
    <x v="0"/>
    <x v="1"/>
    <x v="0"/>
    <x v="3"/>
    <x v="3"/>
    <x v="2"/>
    <x v="12"/>
    <x v="0"/>
    <x v="7"/>
    <x v="0"/>
    <n v="40630"/>
  </r>
  <r>
    <s v="CSKU02833_3EK"/>
    <x v="0"/>
    <x v="1"/>
    <x v="0"/>
    <x v="2"/>
    <x v="1"/>
    <x v="1"/>
    <x v="12"/>
    <x v="0"/>
    <x v="6"/>
    <x v="0"/>
    <n v="38870"/>
  </r>
  <r>
    <s v="CSKU02834_3EK"/>
    <x v="0"/>
    <x v="1"/>
    <x v="0"/>
    <x v="2"/>
    <x v="1"/>
    <x v="2"/>
    <x v="12"/>
    <x v="0"/>
    <x v="7"/>
    <x v="0"/>
    <n v="42250"/>
  </r>
  <r>
    <s v="CSKU02835_3EK"/>
    <x v="0"/>
    <x v="1"/>
    <x v="0"/>
    <x v="2"/>
    <x v="3"/>
    <x v="1"/>
    <x v="12"/>
    <x v="0"/>
    <x v="6"/>
    <x v="0"/>
    <n v="41400"/>
  </r>
  <r>
    <s v="CSKU02836_3EK"/>
    <x v="0"/>
    <x v="1"/>
    <x v="0"/>
    <x v="2"/>
    <x v="3"/>
    <x v="2"/>
    <x v="12"/>
    <x v="0"/>
    <x v="7"/>
    <x v="0"/>
    <n v="46040"/>
  </r>
  <r>
    <s v="CSKU02837_3EK"/>
    <x v="0"/>
    <x v="1"/>
    <x v="1"/>
    <x v="1"/>
    <x v="1"/>
    <x v="1"/>
    <x v="12"/>
    <x v="1"/>
    <x v="6"/>
    <x v="0"/>
    <n v="27730"/>
  </r>
  <r>
    <s v="CSKU02838_3EK"/>
    <x v="0"/>
    <x v="1"/>
    <x v="1"/>
    <x v="1"/>
    <x v="1"/>
    <x v="2"/>
    <x v="12"/>
    <x v="1"/>
    <x v="7"/>
    <x v="0"/>
    <n v="30600"/>
  </r>
  <r>
    <s v="CSKU02839_3EK"/>
    <x v="0"/>
    <x v="1"/>
    <x v="1"/>
    <x v="1"/>
    <x v="3"/>
    <x v="1"/>
    <x v="12"/>
    <x v="1"/>
    <x v="6"/>
    <x v="0"/>
    <n v="29550"/>
  </r>
  <r>
    <s v="CSKU02384_3EK"/>
    <x v="0"/>
    <x v="1"/>
    <x v="0"/>
    <x v="3"/>
    <x v="3"/>
    <x v="2"/>
    <x v="10"/>
    <x v="0"/>
    <x v="7"/>
    <x v="0"/>
    <n v="33590"/>
  </r>
  <r>
    <s v="CSKU02484_3EK"/>
    <x v="0"/>
    <x v="1"/>
    <x v="1"/>
    <x v="3"/>
    <x v="1"/>
    <x v="2"/>
    <x v="111"/>
    <x v="1"/>
    <x v="7"/>
    <x v="0"/>
    <n v="28200"/>
  </r>
  <r>
    <s v="CSKU02569_3EK"/>
    <x v="0"/>
    <x v="1"/>
    <x v="1"/>
    <x v="1"/>
    <x v="1"/>
    <x v="2"/>
    <x v="11"/>
    <x v="1"/>
    <x v="7"/>
    <x v="0"/>
    <n v="23250"/>
  </r>
  <r>
    <s v="CSKU02485_3EK"/>
    <x v="0"/>
    <x v="1"/>
    <x v="1"/>
    <x v="3"/>
    <x v="3"/>
    <x v="1"/>
    <x v="111"/>
    <x v="1"/>
    <x v="6"/>
    <x v="0"/>
    <n v="26940"/>
  </r>
  <r>
    <s v="CSKU02486_3EK"/>
    <x v="0"/>
    <x v="1"/>
    <x v="1"/>
    <x v="3"/>
    <x v="3"/>
    <x v="2"/>
    <x v="111"/>
    <x v="1"/>
    <x v="7"/>
    <x v="0"/>
    <n v="30930"/>
  </r>
  <r>
    <s v="CSKU02487_3EK"/>
    <x v="0"/>
    <x v="1"/>
    <x v="1"/>
    <x v="2"/>
    <x v="1"/>
    <x v="1"/>
    <x v="111"/>
    <x v="1"/>
    <x v="6"/>
    <x v="0"/>
    <n v="28670"/>
  </r>
  <r>
    <s v="CSKU02488_3EK"/>
    <x v="0"/>
    <x v="1"/>
    <x v="1"/>
    <x v="2"/>
    <x v="1"/>
    <x v="2"/>
    <x v="111"/>
    <x v="1"/>
    <x v="7"/>
    <x v="0"/>
    <n v="31680"/>
  </r>
  <r>
    <s v="CSKU02489_3EK"/>
    <x v="0"/>
    <x v="1"/>
    <x v="1"/>
    <x v="2"/>
    <x v="3"/>
    <x v="1"/>
    <x v="111"/>
    <x v="1"/>
    <x v="6"/>
    <x v="0"/>
    <n v="30260"/>
  </r>
  <r>
    <s v="CSKU02490_3EK"/>
    <x v="0"/>
    <x v="1"/>
    <x v="1"/>
    <x v="2"/>
    <x v="3"/>
    <x v="2"/>
    <x v="111"/>
    <x v="1"/>
    <x v="7"/>
    <x v="0"/>
    <n v="34390"/>
  </r>
  <r>
    <s v="CSKU02107_2EK"/>
    <x v="0"/>
    <x v="0"/>
    <x v="0"/>
    <x v="4"/>
    <x v="1"/>
    <x v="2"/>
    <x v="9"/>
    <x v="0"/>
    <x v="5"/>
    <x v="0"/>
    <n v="23140"/>
  </r>
  <r>
    <s v="CSKU02570_3EK"/>
    <x v="0"/>
    <x v="1"/>
    <x v="1"/>
    <x v="1"/>
    <x v="3"/>
    <x v="1"/>
    <x v="11"/>
    <x v="1"/>
    <x v="6"/>
    <x v="0"/>
    <n v="21590"/>
  </r>
  <r>
    <s v="CSKU02571_3EK"/>
    <x v="0"/>
    <x v="1"/>
    <x v="1"/>
    <x v="1"/>
    <x v="3"/>
    <x v="2"/>
    <x v="11"/>
    <x v="1"/>
    <x v="7"/>
    <x v="0"/>
    <n v="25360"/>
  </r>
  <r>
    <s v="CSKU02572_3EK"/>
    <x v="0"/>
    <x v="1"/>
    <x v="1"/>
    <x v="3"/>
    <x v="1"/>
    <x v="1"/>
    <x v="11"/>
    <x v="1"/>
    <x v="6"/>
    <x v="0"/>
    <n v="23830"/>
  </r>
  <r>
    <s v="CSKU02573_3EK"/>
    <x v="0"/>
    <x v="1"/>
    <x v="1"/>
    <x v="3"/>
    <x v="1"/>
    <x v="2"/>
    <x v="11"/>
    <x v="1"/>
    <x v="7"/>
    <x v="0"/>
    <n v="26700"/>
  </r>
  <r>
    <s v="CSKU02574_3EK"/>
    <x v="0"/>
    <x v="1"/>
    <x v="1"/>
    <x v="3"/>
    <x v="3"/>
    <x v="1"/>
    <x v="11"/>
    <x v="1"/>
    <x v="6"/>
    <x v="0"/>
    <n v="25420"/>
  </r>
  <r>
    <s v="CSKU02575_3EK"/>
    <x v="0"/>
    <x v="1"/>
    <x v="1"/>
    <x v="3"/>
    <x v="3"/>
    <x v="2"/>
    <x v="11"/>
    <x v="1"/>
    <x v="7"/>
    <x v="0"/>
    <n v="29410"/>
  </r>
  <r>
    <s v="CSKU02576_3EK"/>
    <x v="0"/>
    <x v="1"/>
    <x v="1"/>
    <x v="2"/>
    <x v="1"/>
    <x v="1"/>
    <x v="11"/>
    <x v="1"/>
    <x v="6"/>
    <x v="0"/>
    <n v="26850"/>
  </r>
  <r>
    <s v="CSKU02108_2EK"/>
    <x v="0"/>
    <x v="0"/>
    <x v="0"/>
    <x v="4"/>
    <x v="3"/>
    <x v="1"/>
    <x v="9"/>
    <x v="0"/>
    <x v="4"/>
    <x v="0"/>
    <n v="22570"/>
  </r>
  <r>
    <s v="CSKU02109_2EK"/>
    <x v="0"/>
    <x v="0"/>
    <x v="0"/>
    <x v="4"/>
    <x v="3"/>
    <x v="2"/>
    <x v="9"/>
    <x v="0"/>
    <x v="5"/>
    <x v="0"/>
    <n v="25190"/>
  </r>
  <r>
    <s v="CSKU02110_2EK"/>
    <x v="0"/>
    <x v="0"/>
    <x v="0"/>
    <x v="6"/>
    <x v="1"/>
    <x v="1"/>
    <x v="9"/>
    <x v="0"/>
    <x v="4"/>
    <x v="0"/>
    <n v="23870"/>
  </r>
  <r>
    <s v="CSKU02111_2EK"/>
    <x v="0"/>
    <x v="0"/>
    <x v="0"/>
    <x v="6"/>
    <x v="1"/>
    <x v="2"/>
    <x v="9"/>
    <x v="0"/>
    <x v="5"/>
    <x v="0"/>
    <n v="26390"/>
  </r>
  <r>
    <s v="CSKU02112_2EK"/>
    <x v="0"/>
    <x v="0"/>
    <x v="0"/>
    <x v="6"/>
    <x v="3"/>
    <x v="1"/>
    <x v="9"/>
    <x v="0"/>
    <x v="4"/>
    <x v="0"/>
    <n v="25300"/>
  </r>
  <r>
    <s v="CSKU02113_2EK"/>
    <x v="0"/>
    <x v="0"/>
    <x v="0"/>
    <x v="6"/>
    <x v="3"/>
    <x v="2"/>
    <x v="9"/>
    <x v="0"/>
    <x v="5"/>
    <x v="0"/>
    <n v="28760"/>
  </r>
  <r>
    <s v="CSKU02114_2EK"/>
    <x v="0"/>
    <x v="0"/>
    <x v="0"/>
    <x v="5"/>
    <x v="1"/>
    <x v="1"/>
    <x v="9"/>
    <x v="0"/>
    <x v="4"/>
    <x v="0"/>
    <n v="26180"/>
  </r>
  <r>
    <s v="CSKU02115_2EK"/>
    <x v="0"/>
    <x v="0"/>
    <x v="0"/>
    <x v="5"/>
    <x v="1"/>
    <x v="2"/>
    <x v="9"/>
    <x v="0"/>
    <x v="5"/>
    <x v="0"/>
    <n v="28890"/>
  </r>
  <r>
    <s v="CSKU02116_2EK"/>
    <x v="0"/>
    <x v="0"/>
    <x v="0"/>
    <x v="5"/>
    <x v="3"/>
    <x v="1"/>
    <x v="9"/>
    <x v="0"/>
    <x v="4"/>
    <x v="0"/>
    <n v="27800"/>
  </r>
  <r>
    <s v="CSKU02117_2EK"/>
    <x v="0"/>
    <x v="0"/>
    <x v="0"/>
    <x v="5"/>
    <x v="3"/>
    <x v="2"/>
    <x v="9"/>
    <x v="0"/>
    <x v="5"/>
    <x v="0"/>
    <n v="31430"/>
  </r>
  <r>
    <s v="CSKU02118_2EK"/>
    <x v="0"/>
    <x v="0"/>
    <x v="1"/>
    <x v="4"/>
    <x v="1"/>
    <x v="1"/>
    <x v="9"/>
    <x v="1"/>
    <x v="4"/>
    <x v="0"/>
    <n v="19840"/>
  </r>
  <r>
    <s v="CSKU02119_2EK"/>
    <x v="0"/>
    <x v="0"/>
    <x v="1"/>
    <x v="4"/>
    <x v="1"/>
    <x v="2"/>
    <x v="9"/>
    <x v="1"/>
    <x v="5"/>
    <x v="0"/>
    <n v="21880"/>
  </r>
  <r>
    <s v="CSKU00846_2EK"/>
    <x v="0"/>
    <x v="0"/>
    <x v="0"/>
    <x v="4"/>
    <x v="1"/>
    <x v="1"/>
    <x v="7"/>
    <x v="0"/>
    <x v="4"/>
    <x v="0"/>
    <n v="20860"/>
  </r>
  <r>
    <s v="CSKU01206_2EK"/>
    <x v="0"/>
    <x v="0"/>
    <x v="0"/>
    <x v="4"/>
    <x v="1"/>
    <x v="1"/>
    <x v="8"/>
    <x v="0"/>
    <x v="4"/>
    <x v="0"/>
    <n v="20860"/>
  </r>
  <r>
    <s v="CSKU01207_2EK"/>
    <x v="0"/>
    <x v="0"/>
    <x v="0"/>
    <x v="4"/>
    <x v="1"/>
    <x v="2"/>
    <x v="8"/>
    <x v="0"/>
    <x v="5"/>
    <x v="0"/>
    <n v="23140"/>
  </r>
  <r>
    <s v="CSKU01208_2EK"/>
    <x v="0"/>
    <x v="0"/>
    <x v="0"/>
    <x v="4"/>
    <x v="3"/>
    <x v="1"/>
    <x v="8"/>
    <x v="0"/>
    <x v="4"/>
    <x v="0"/>
    <n v="22570"/>
  </r>
  <r>
    <s v="CSKU01209_2EK"/>
    <x v="0"/>
    <x v="0"/>
    <x v="0"/>
    <x v="4"/>
    <x v="3"/>
    <x v="2"/>
    <x v="8"/>
    <x v="0"/>
    <x v="5"/>
    <x v="0"/>
    <n v="25190"/>
  </r>
  <r>
    <s v="CSKU01210_2EK"/>
    <x v="0"/>
    <x v="0"/>
    <x v="0"/>
    <x v="6"/>
    <x v="1"/>
    <x v="1"/>
    <x v="8"/>
    <x v="0"/>
    <x v="4"/>
    <x v="0"/>
    <n v="23870"/>
  </r>
  <r>
    <s v="CSKU01211_2EK"/>
    <x v="0"/>
    <x v="0"/>
    <x v="0"/>
    <x v="6"/>
    <x v="1"/>
    <x v="2"/>
    <x v="8"/>
    <x v="0"/>
    <x v="5"/>
    <x v="0"/>
    <n v="26390"/>
  </r>
  <r>
    <s v="CSKU01212_2EK"/>
    <x v="0"/>
    <x v="0"/>
    <x v="0"/>
    <x v="6"/>
    <x v="3"/>
    <x v="1"/>
    <x v="8"/>
    <x v="0"/>
    <x v="4"/>
    <x v="0"/>
    <n v="25300"/>
  </r>
  <r>
    <s v="CSKU01213_2EK"/>
    <x v="0"/>
    <x v="0"/>
    <x v="0"/>
    <x v="6"/>
    <x v="3"/>
    <x v="2"/>
    <x v="8"/>
    <x v="0"/>
    <x v="5"/>
    <x v="0"/>
    <n v="28760"/>
  </r>
  <r>
    <s v="CSKU01214_2EK"/>
    <x v="0"/>
    <x v="0"/>
    <x v="0"/>
    <x v="5"/>
    <x v="1"/>
    <x v="1"/>
    <x v="8"/>
    <x v="0"/>
    <x v="4"/>
    <x v="0"/>
    <n v="26180"/>
  </r>
  <r>
    <s v="CSKU01215_2EK"/>
    <x v="0"/>
    <x v="0"/>
    <x v="0"/>
    <x v="5"/>
    <x v="1"/>
    <x v="2"/>
    <x v="8"/>
    <x v="0"/>
    <x v="5"/>
    <x v="0"/>
    <n v="28890"/>
  </r>
  <r>
    <s v="CSKU01496_2EK"/>
    <x v="0"/>
    <x v="0"/>
    <x v="1"/>
    <x v="5"/>
    <x v="1"/>
    <x v="1"/>
    <x v="96"/>
    <x v="1"/>
    <x v="4"/>
    <x v="0"/>
    <n v="25020"/>
  </r>
  <r>
    <s v="CSKU01497_2EK"/>
    <x v="0"/>
    <x v="0"/>
    <x v="1"/>
    <x v="5"/>
    <x v="1"/>
    <x v="2"/>
    <x v="96"/>
    <x v="1"/>
    <x v="5"/>
    <x v="0"/>
    <n v="27450"/>
  </r>
  <r>
    <s v="CSKU01498_2EK"/>
    <x v="0"/>
    <x v="0"/>
    <x v="1"/>
    <x v="5"/>
    <x v="3"/>
    <x v="1"/>
    <x v="96"/>
    <x v="1"/>
    <x v="4"/>
    <x v="0"/>
    <n v="26610"/>
  </r>
  <r>
    <s v="CSKU01499_2EK"/>
    <x v="0"/>
    <x v="0"/>
    <x v="1"/>
    <x v="5"/>
    <x v="3"/>
    <x v="2"/>
    <x v="96"/>
    <x v="1"/>
    <x v="5"/>
    <x v="0"/>
    <n v="29880"/>
  </r>
  <r>
    <s v="CSKU02377_3EK"/>
    <x v="0"/>
    <x v="1"/>
    <x v="0"/>
    <x v="1"/>
    <x v="1"/>
    <x v="1"/>
    <x v="10"/>
    <x v="0"/>
    <x v="6"/>
    <x v="0"/>
    <n v="24400"/>
  </r>
  <r>
    <s v="CSKU02378_3EK"/>
    <x v="0"/>
    <x v="1"/>
    <x v="0"/>
    <x v="1"/>
    <x v="1"/>
    <x v="2"/>
    <x v="10"/>
    <x v="0"/>
    <x v="7"/>
    <x v="0"/>
    <n v="27600"/>
  </r>
  <r>
    <s v="CSKU02379_3EK"/>
    <x v="0"/>
    <x v="1"/>
    <x v="0"/>
    <x v="1"/>
    <x v="3"/>
    <x v="1"/>
    <x v="10"/>
    <x v="0"/>
    <x v="6"/>
    <x v="0"/>
    <n v="26090"/>
  </r>
  <r>
    <s v="CSKU02380_3EK"/>
    <x v="0"/>
    <x v="1"/>
    <x v="0"/>
    <x v="1"/>
    <x v="3"/>
    <x v="2"/>
    <x v="10"/>
    <x v="0"/>
    <x v="7"/>
    <x v="0"/>
    <n v="30300"/>
  </r>
  <r>
    <s v="CSKU02381_3EK"/>
    <x v="0"/>
    <x v="1"/>
    <x v="0"/>
    <x v="3"/>
    <x v="1"/>
    <x v="1"/>
    <x v="10"/>
    <x v="0"/>
    <x v="6"/>
    <x v="0"/>
    <n v="27470"/>
  </r>
  <r>
    <s v="CSKU02382_3EK"/>
    <x v="0"/>
    <x v="1"/>
    <x v="0"/>
    <x v="3"/>
    <x v="1"/>
    <x v="2"/>
    <x v="10"/>
    <x v="0"/>
    <x v="7"/>
    <x v="0"/>
    <n v="30680"/>
  </r>
  <r>
    <s v="CSKU02383_3EK"/>
    <x v="0"/>
    <x v="1"/>
    <x v="0"/>
    <x v="3"/>
    <x v="3"/>
    <x v="1"/>
    <x v="10"/>
    <x v="0"/>
    <x v="6"/>
    <x v="0"/>
    <n v="29120"/>
  </r>
  <r>
    <m/>
    <x v="0"/>
    <x v="1"/>
    <x v="1"/>
    <x v="2"/>
    <x v="0"/>
    <x v="5"/>
    <x v="42"/>
    <x v="1"/>
    <x v="2"/>
    <x v="0"/>
    <n v="44020"/>
  </r>
  <r>
    <m/>
    <x v="0"/>
    <x v="1"/>
    <x v="1"/>
    <x v="2"/>
    <x v="0"/>
    <x v="5"/>
    <x v="43"/>
    <x v="1"/>
    <x v="2"/>
    <x v="0"/>
    <n v="44020"/>
  </r>
  <r>
    <m/>
    <x v="0"/>
    <x v="1"/>
    <x v="1"/>
    <x v="2"/>
    <x v="0"/>
    <x v="5"/>
    <x v="44"/>
    <x v="1"/>
    <x v="2"/>
    <x v="0"/>
    <n v="44020"/>
  </r>
  <r>
    <m/>
    <x v="0"/>
    <x v="1"/>
    <x v="1"/>
    <x v="2"/>
    <x v="0"/>
    <x v="5"/>
    <x v="45"/>
    <x v="1"/>
    <x v="2"/>
    <x v="0"/>
    <n v="44020"/>
  </r>
  <r>
    <m/>
    <x v="0"/>
    <x v="1"/>
    <x v="1"/>
    <x v="2"/>
    <x v="0"/>
    <x v="5"/>
    <x v="46"/>
    <x v="1"/>
    <x v="2"/>
    <x v="0"/>
    <n v="44020"/>
  </r>
  <r>
    <m/>
    <x v="0"/>
    <x v="1"/>
    <x v="1"/>
    <x v="2"/>
    <x v="0"/>
    <x v="5"/>
    <x v="4"/>
    <x v="1"/>
    <x v="2"/>
    <x v="0"/>
    <n v="44020"/>
  </r>
  <r>
    <m/>
    <x v="0"/>
    <x v="1"/>
    <x v="1"/>
    <x v="2"/>
    <x v="0"/>
    <x v="5"/>
    <x v="47"/>
    <x v="1"/>
    <x v="2"/>
    <x v="0"/>
    <n v="44020"/>
  </r>
  <r>
    <m/>
    <x v="0"/>
    <x v="1"/>
    <x v="1"/>
    <x v="2"/>
    <x v="0"/>
    <x v="5"/>
    <x v="48"/>
    <x v="1"/>
    <x v="2"/>
    <x v="0"/>
    <n v="44020"/>
  </r>
  <r>
    <m/>
    <x v="0"/>
    <x v="1"/>
    <x v="1"/>
    <x v="2"/>
    <x v="1"/>
    <x v="1"/>
    <x v="55"/>
    <x v="1"/>
    <x v="3"/>
    <x v="0"/>
    <n v="29580"/>
  </r>
  <r>
    <m/>
    <x v="0"/>
    <x v="1"/>
    <x v="1"/>
    <x v="2"/>
    <x v="1"/>
    <x v="1"/>
    <x v="5"/>
    <x v="1"/>
    <x v="3"/>
    <x v="0"/>
    <n v="28670"/>
  </r>
  <r>
    <m/>
    <x v="0"/>
    <x v="1"/>
    <x v="1"/>
    <x v="2"/>
    <x v="1"/>
    <x v="1"/>
    <x v="54"/>
    <x v="1"/>
    <x v="3"/>
    <x v="0"/>
    <n v="26850"/>
  </r>
  <r>
    <m/>
    <x v="0"/>
    <x v="1"/>
    <x v="1"/>
    <x v="2"/>
    <x v="1"/>
    <x v="1"/>
    <x v="3"/>
    <x v="1"/>
    <x v="3"/>
    <x v="0"/>
    <n v="27760"/>
  </r>
  <r>
    <m/>
    <x v="0"/>
    <x v="1"/>
    <x v="1"/>
    <x v="2"/>
    <x v="1"/>
    <x v="2"/>
    <x v="55"/>
    <x v="1"/>
    <x v="2"/>
    <x v="0"/>
    <n v="32590"/>
  </r>
  <r>
    <m/>
    <x v="0"/>
    <x v="1"/>
    <x v="1"/>
    <x v="2"/>
    <x v="1"/>
    <x v="2"/>
    <x v="5"/>
    <x v="1"/>
    <x v="2"/>
    <x v="0"/>
    <n v="31680"/>
  </r>
  <r>
    <s v="CSKU02120_2EK"/>
    <x v="0"/>
    <x v="0"/>
    <x v="1"/>
    <x v="4"/>
    <x v="3"/>
    <x v="1"/>
    <x v="9"/>
    <x v="1"/>
    <x v="4"/>
    <x v="0"/>
    <n v="21470"/>
  </r>
  <r>
    <s v="CSKU00036_2EK"/>
    <x v="0"/>
    <x v="0"/>
    <x v="0"/>
    <x v="4"/>
    <x v="1"/>
    <x v="1"/>
    <x v="112"/>
    <x v="0"/>
    <x v="4"/>
    <x v="0"/>
    <n v="17700"/>
  </r>
  <r>
    <s v="CSKU00037_2EK"/>
    <x v="0"/>
    <x v="0"/>
    <x v="0"/>
    <x v="4"/>
    <x v="1"/>
    <x v="2"/>
    <x v="112"/>
    <x v="0"/>
    <x v="5"/>
    <x v="0"/>
    <n v="19980"/>
  </r>
  <r>
    <s v="CSKU00038_2EK"/>
    <x v="0"/>
    <x v="0"/>
    <x v="0"/>
    <x v="4"/>
    <x v="3"/>
    <x v="1"/>
    <x v="112"/>
    <x v="0"/>
    <x v="4"/>
    <x v="0"/>
    <n v="19260"/>
  </r>
  <r>
    <s v="CSKU00039_2EK"/>
    <x v="0"/>
    <x v="0"/>
    <x v="0"/>
    <x v="4"/>
    <x v="3"/>
    <x v="2"/>
    <x v="112"/>
    <x v="0"/>
    <x v="5"/>
    <x v="0"/>
    <n v="21880"/>
  </r>
  <r>
    <s v="CSKU00040_2EK"/>
    <x v="0"/>
    <x v="0"/>
    <x v="0"/>
    <x v="6"/>
    <x v="1"/>
    <x v="1"/>
    <x v="112"/>
    <x v="0"/>
    <x v="4"/>
    <x v="0"/>
    <n v="19800"/>
  </r>
  <r>
    <s v="CSKU00041_2EK"/>
    <x v="0"/>
    <x v="0"/>
    <x v="0"/>
    <x v="6"/>
    <x v="1"/>
    <x v="2"/>
    <x v="112"/>
    <x v="0"/>
    <x v="5"/>
    <x v="0"/>
    <n v="22320"/>
  </r>
  <r>
    <s v="CSKU00042_2EK"/>
    <x v="0"/>
    <x v="0"/>
    <x v="0"/>
    <x v="6"/>
    <x v="3"/>
    <x v="1"/>
    <x v="112"/>
    <x v="0"/>
    <x v="4"/>
    <x v="0"/>
    <n v="20960"/>
  </r>
  <r>
    <s v="CSKU00043_2EK"/>
    <x v="0"/>
    <x v="0"/>
    <x v="0"/>
    <x v="6"/>
    <x v="3"/>
    <x v="2"/>
    <x v="112"/>
    <x v="0"/>
    <x v="5"/>
    <x v="0"/>
    <n v="24420"/>
  </r>
  <r>
    <s v="CSKU00044_2EK"/>
    <x v="0"/>
    <x v="0"/>
    <x v="0"/>
    <x v="5"/>
    <x v="1"/>
    <x v="1"/>
    <x v="112"/>
    <x v="0"/>
    <x v="4"/>
    <x v="0"/>
    <n v="22270"/>
  </r>
  <r>
    <s v="CSKU00045_2EK"/>
    <x v="0"/>
    <x v="0"/>
    <x v="0"/>
    <x v="5"/>
    <x v="1"/>
    <x v="2"/>
    <x v="112"/>
    <x v="0"/>
    <x v="5"/>
    <x v="0"/>
    <n v="24980"/>
  </r>
  <r>
    <s v="CSKU00306_2EK"/>
    <x v="0"/>
    <x v="0"/>
    <x v="0"/>
    <x v="4"/>
    <x v="1"/>
    <x v="1"/>
    <x v="113"/>
    <x v="0"/>
    <x v="4"/>
    <x v="0"/>
    <n v="20860"/>
  </r>
  <r>
    <s v="CSKU00307_2EK"/>
    <x v="0"/>
    <x v="0"/>
    <x v="0"/>
    <x v="4"/>
    <x v="1"/>
    <x v="2"/>
    <x v="113"/>
    <x v="0"/>
    <x v="5"/>
    <x v="0"/>
    <n v="23140"/>
  </r>
  <r>
    <s v="CSKU00308_2EK"/>
    <x v="0"/>
    <x v="0"/>
    <x v="0"/>
    <x v="4"/>
    <x v="3"/>
    <x v="1"/>
    <x v="113"/>
    <x v="0"/>
    <x v="4"/>
    <x v="0"/>
    <n v="22570"/>
  </r>
  <r>
    <s v="CSKU00309_2EK"/>
    <x v="0"/>
    <x v="0"/>
    <x v="0"/>
    <x v="4"/>
    <x v="3"/>
    <x v="2"/>
    <x v="113"/>
    <x v="0"/>
    <x v="5"/>
    <x v="0"/>
    <n v="25190"/>
  </r>
  <r>
    <s v="CSKU00310_2EK"/>
    <x v="0"/>
    <x v="0"/>
    <x v="0"/>
    <x v="6"/>
    <x v="1"/>
    <x v="1"/>
    <x v="113"/>
    <x v="0"/>
    <x v="4"/>
    <x v="0"/>
    <n v="23870"/>
  </r>
  <r>
    <s v="CSKU00311_2EK"/>
    <x v="0"/>
    <x v="0"/>
    <x v="0"/>
    <x v="6"/>
    <x v="1"/>
    <x v="2"/>
    <x v="113"/>
    <x v="0"/>
    <x v="5"/>
    <x v="0"/>
    <n v="26390"/>
  </r>
  <r>
    <m/>
    <x v="0"/>
    <x v="1"/>
    <x v="0"/>
    <x v="0"/>
    <x v="0"/>
    <x v="4"/>
    <x v="40"/>
    <x v="0"/>
    <x v="2"/>
    <x v="0"/>
    <n v="37160"/>
  </r>
  <r>
    <m/>
    <x v="0"/>
    <x v="1"/>
    <x v="0"/>
    <x v="0"/>
    <x v="0"/>
    <x v="4"/>
    <x v="41"/>
    <x v="0"/>
    <x v="2"/>
    <x v="0"/>
    <n v="37160"/>
  </r>
  <r>
    <m/>
    <x v="0"/>
    <x v="1"/>
    <x v="0"/>
    <x v="0"/>
    <x v="0"/>
    <x v="4"/>
    <x v="42"/>
    <x v="0"/>
    <x v="2"/>
    <x v="0"/>
    <n v="37160"/>
  </r>
  <r>
    <m/>
    <x v="0"/>
    <x v="1"/>
    <x v="0"/>
    <x v="0"/>
    <x v="0"/>
    <x v="4"/>
    <x v="43"/>
    <x v="0"/>
    <x v="2"/>
    <x v="0"/>
    <n v="37160"/>
  </r>
  <r>
    <m/>
    <x v="0"/>
    <x v="1"/>
    <x v="0"/>
    <x v="0"/>
    <x v="0"/>
    <x v="4"/>
    <x v="44"/>
    <x v="0"/>
    <x v="2"/>
    <x v="0"/>
    <n v="37160"/>
  </r>
  <r>
    <m/>
    <x v="0"/>
    <x v="1"/>
    <x v="0"/>
    <x v="0"/>
    <x v="0"/>
    <x v="4"/>
    <x v="45"/>
    <x v="0"/>
    <x v="2"/>
    <x v="0"/>
    <n v="37160"/>
  </r>
  <r>
    <m/>
    <x v="0"/>
    <x v="1"/>
    <x v="0"/>
    <x v="0"/>
    <x v="0"/>
    <x v="4"/>
    <x v="46"/>
    <x v="0"/>
    <x v="2"/>
    <x v="0"/>
    <n v="37160"/>
  </r>
  <r>
    <m/>
    <x v="0"/>
    <x v="1"/>
    <x v="0"/>
    <x v="0"/>
    <x v="0"/>
    <x v="4"/>
    <x v="4"/>
    <x v="0"/>
    <x v="2"/>
    <x v="0"/>
    <n v="37160"/>
  </r>
  <r>
    <m/>
    <x v="0"/>
    <x v="1"/>
    <x v="0"/>
    <x v="0"/>
    <x v="0"/>
    <x v="4"/>
    <x v="47"/>
    <x v="0"/>
    <x v="2"/>
    <x v="0"/>
    <n v="37160"/>
  </r>
  <r>
    <m/>
    <x v="0"/>
    <x v="1"/>
    <x v="0"/>
    <x v="0"/>
    <x v="0"/>
    <x v="4"/>
    <x v="48"/>
    <x v="0"/>
    <x v="2"/>
    <x v="0"/>
    <n v="37160"/>
  </r>
  <r>
    <m/>
    <x v="0"/>
    <x v="1"/>
    <x v="0"/>
    <x v="0"/>
    <x v="0"/>
    <x v="5"/>
    <x v="49"/>
    <x v="0"/>
    <x v="2"/>
    <x v="0"/>
    <n v="42250"/>
  </r>
  <r>
    <m/>
    <x v="0"/>
    <x v="1"/>
    <x v="0"/>
    <x v="0"/>
    <x v="0"/>
    <x v="5"/>
    <x v="50"/>
    <x v="0"/>
    <x v="2"/>
    <x v="0"/>
    <n v="42250"/>
  </r>
  <r>
    <m/>
    <x v="0"/>
    <x v="1"/>
    <x v="0"/>
    <x v="0"/>
    <x v="0"/>
    <x v="5"/>
    <x v="51"/>
    <x v="0"/>
    <x v="2"/>
    <x v="0"/>
    <n v="42250"/>
  </r>
  <r>
    <m/>
    <x v="0"/>
    <x v="1"/>
    <x v="0"/>
    <x v="0"/>
    <x v="0"/>
    <x v="5"/>
    <x v="52"/>
    <x v="0"/>
    <x v="2"/>
    <x v="0"/>
    <n v="42250"/>
  </r>
  <r>
    <m/>
    <x v="0"/>
    <x v="1"/>
    <x v="0"/>
    <x v="2"/>
    <x v="1"/>
    <x v="1"/>
    <x v="3"/>
    <x v="0"/>
    <x v="3"/>
    <x v="0"/>
    <n v="30420"/>
  </r>
  <r>
    <m/>
    <x v="0"/>
    <x v="1"/>
    <x v="0"/>
    <x v="2"/>
    <x v="1"/>
    <x v="2"/>
    <x v="55"/>
    <x v="0"/>
    <x v="2"/>
    <x v="0"/>
    <n v="34440"/>
  </r>
  <r>
    <m/>
    <x v="0"/>
    <x v="1"/>
    <x v="0"/>
    <x v="2"/>
    <x v="1"/>
    <x v="2"/>
    <x v="5"/>
    <x v="0"/>
    <x v="2"/>
    <x v="0"/>
    <n v="34120"/>
  </r>
  <r>
    <m/>
    <x v="0"/>
    <x v="1"/>
    <x v="0"/>
    <x v="2"/>
    <x v="1"/>
    <x v="2"/>
    <x v="54"/>
    <x v="0"/>
    <x v="2"/>
    <x v="0"/>
    <n v="33480"/>
  </r>
  <r>
    <m/>
    <x v="0"/>
    <x v="1"/>
    <x v="0"/>
    <x v="2"/>
    <x v="1"/>
    <x v="2"/>
    <x v="3"/>
    <x v="0"/>
    <x v="2"/>
    <x v="0"/>
    <n v="33800"/>
  </r>
  <r>
    <m/>
    <x v="0"/>
    <x v="1"/>
    <x v="0"/>
    <x v="2"/>
    <x v="3"/>
    <x v="1"/>
    <x v="55"/>
    <x v="0"/>
    <x v="3"/>
    <x v="0"/>
    <n v="32670"/>
  </r>
  <r>
    <m/>
    <x v="0"/>
    <x v="1"/>
    <x v="0"/>
    <x v="2"/>
    <x v="3"/>
    <x v="1"/>
    <x v="5"/>
    <x v="0"/>
    <x v="3"/>
    <x v="0"/>
    <n v="32400"/>
  </r>
  <r>
    <m/>
    <x v="0"/>
    <x v="1"/>
    <x v="0"/>
    <x v="2"/>
    <x v="3"/>
    <x v="1"/>
    <x v="54"/>
    <x v="0"/>
    <x v="3"/>
    <x v="0"/>
    <n v="31860"/>
  </r>
  <r>
    <m/>
    <x v="0"/>
    <x v="1"/>
    <x v="0"/>
    <x v="2"/>
    <x v="3"/>
    <x v="1"/>
    <x v="3"/>
    <x v="0"/>
    <x v="3"/>
    <x v="0"/>
    <n v="32130"/>
  </r>
  <r>
    <m/>
    <x v="0"/>
    <x v="1"/>
    <x v="0"/>
    <x v="2"/>
    <x v="3"/>
    <x v="2"/>
    <x v="55"/>
    <x v="0"/>
    <x v="2"/>
    <x v="0"/>
    <n v="37310"/>
  </r>
  <r>
    <m/>
    <x v="0"/>
    <x v="1"/>
    <x v="0"/>
    <x v="2"/>
    <x v="3"/>
    <x v="2"/>
    <x v="5"/>
    <x v="0"/>
    <x v="2"/>
    <x v="0"/>
    <n v="37040"/>
  </r>
  <r>
    <m/>
    <x v="0"/>
    <x v="1"/>
    <x v="0"/>
    <x v="2"/>
    <x v="3"/>
    <x v="2"/>
    <x v="54"/>
    <x v="0"/>
    <x v="2"/>
    <x v="0"/>
    <n v="36500"/>
  </r>
  <r>
    <m/>
    <x v="0"/>
    <x v="0"/>
    <x v="0"/>
    <x v="5"/>
    <x v="1"/>
    <x v="2"/>
    <x v="97"/>
    <x v="0"/>
    <x v="0"/>
    <x v="0"/>
    <n v="24340"/>
  </r>
  <r>
    <m/>
    <x v="0"/>
    <x v="0"/>
    <x v="0"/>
    <x v="5"/>
    <x v="1"/>
    <x v="2"/>
    <x v="98"/>
    <x v="0"/>
    <x v="0"/>
    <x v="0"/>
    <n v="24660"/>
  </r>
  <r>
    <m/>
    <x v="0"/>
    <x v="0"/>
    <x v="0"/>
    <x v="5"/>
    <x v="3"/>
    <x v="1"/>
    <x v="94"/>
    <x v="0"/>
    <x v="1"/>
    <x v="0"/>
    <n v="23420"/>
  </r>
  <r>
    <m/>
    <x v="0"/>
    <x v="0"/>
    <x v="0"/>
    <x v="5"/>
    <x v="3"/>
    <x v="1"/>
    <x v="97"/>
    <x v="0"/>
    <x v="1"/>
    <x v="0"/>
    <n v="22880"/>
  </r>
  <r>
    <m/>
    <x v="0"/>
    <x v="0"/>
    <x v="0"/>
    <x v="5"/>
    <x v="3"/>
    <x v="1"/>
    <x v="98"/>
    <x v="0"/>
    <x v="1"/>
    <x v="0"/>
    <n v="23150"/>
  </r>
  <r>
    <m/>
    <x v="0"/>
    <x v="0"/>
    <x v="0"/>
    <x v="5"/>
    <x v="3"/>
    <x v="2"/>
    <x v="94"/>
    <x v="0"/>
    <x v="0"/>
    <x v="0"/>
    <n v="27050"/>
  </r>
  <r>
    <m/>
    <x v="0"/>
    <x v="0"/>
    <x v="0"/>
    <x v="5"/>
    <x v="3"/>
    <x v="2"/>
    <x v="97"/>
    <x v="0"/>
    <x v="0"/>
    <x v="0"/>
    <n v="26510"/>
  </r>
  <r>
    <m/>
    <x v="0"/>
    <x v="0"/>
    <x v="0"/>
    <x v="5"/>
    <x v="3"/>
    <x v="2"/>
    <x v="98"/>
    <x v="0"/>
    <x v="0"/>
    <x v="0"/>
    <n v="26780"/>
  </r>
  <r>
    <m/>
    <x v="0"/>
    <x v="0"/>
    <x v="0"/>
    <x v="1"/>
    <x v="1"/>
    <x v="1"/>
    <x v="73"/>
    <x v="0"/>
    <x v="1"/>
    <x v="0"/>
    <n v="24440"/>
  </r>
  <r>
    <m/>
    <x v="0"/>
    <x v="0"/>
    <x v="0"/>
    <x v="1"/>
    <x v="1"/>
    <x v="1"/>
    <x v="74"/>
    <x v="0"/>
    <x v="1"/>
    <x v="0"/>
    <n v="23760"/>
  </r>
  <r>
    <m/>
    <x v="0"/>
    <x v="0"/>
    <x v="0"/>
    <x v="1"/>
    <x v="1"/>
    <x v="1"/>
    <x v="1"/>
    <x v="0"/>
    <x v="1"/>
    <x v="0"/>
    <n v="24100"/>
  </r>
  <r>
    <m/>
    <x v="0"/>
    <x v="0"/>
    <x v="0"/>
    <x v="1"/>
    <x v="1"/>
    <x v="2"/>
    <x v="73"/>
    <x v="0"/>
    <x v="0"/>
    <x v="0"/>
    <n v="27640"/>
  </r>
  <r>
    <m/>
    <x v="0"/>
    <x v="0"/>
    <x v="0"/>
    <x v="1"/>
    <x v="1"/>
    <x v="2"/>
    <x v="74"/>
    <x v="0"/>
    <x v="0"/>
    <x v="0"/>
    <n v="26960"/>
  </r>
  <r>
    <m/>
    <x v="0"/>
    <x v="1"/>
    <x v="1"/>
    <x v="0"/>
    <x v="0"/>
    <x v="4"/>
    <x v="49"/>
    <x v="1"/>
    <x v="2"/>
    <x v="0"/>
    <n v="35430"/>
  </r>
  <r>
    <m/>
    <x v="0"/>
    <x v="1"/>
    <x v="1"/>
    <x v="0"/>
    <x v="0"/>
    <x v="4"/>
    <x v="50"/>
    <x v="1"/>
    <x v="2"/>
    <x v="0"/>
    <n v="35430"/>
  </r>
  <r>
    <m/>
    <x v="0"/>
    <x v="1"/>
    <x v="1"/>
    <x v="0"/>
    <x v="0"/>
    <x v="4"/>
    <x v="51"/>
    <x v="1"/>
    <x v="2"/>
    <x v="0"/>
    <n v="35430"/>
  </r>
  <r>
    <m/>
    <x v="0"/>
    <x v="1"/>
    <x v="1"/>
    <x v="0"/>
    <x v="0"/>
    <x v="4"/>
    <x v="52"/>
    <x v="1"/>
    <x v="2"/>
    <x v="0"/>
    <n v="35430"/>
  </r>
  <r>
    <m/>
    <x v="0"/>
    <x v="1"/>
    <x v="1"/>
    <x v="0"/>
    <x v="0"/>
    <x v="4"/>
    <x v="53"/>
    <x v="1"/>
    <x v="2"/>
    <x v="0"/>
    <n v="35430"/>
  </r>
  <r>
    <m/>
    <x v="0"/>
    <x v="1"/>
    <x v="1"/>
    <x v="0"/>
    <x v="0"/>
    <x v="4"/>
    <x v="6"/>
    <x v="1"/>
    <x v="2"/>
    <x v="0"/>
    <n v="35430"/>
  </r>
  <r>
    <m/>
    <x v="0"/>
    <x v="1"/>
    <x v="1"/>
    <x v="0"/>
    <x v="0"/>
    <x v="4"/>
    <x v="37"/>
    <x v="1"/>
    <x v="2"/>
    <x v="0"/>
    <n v="35430"/>
  </r>
  <r>
    <m/>
    <x v="0"/>
    <x v="1"/>
    <x v="1"/>
    <x v="0"/>
    <x v="0"/>
    <x v="4"/>
    <x v="38"/>
    <x v="1"/>
    <x v="2"/>
    <x v="0"/>
    <n v="35430"/>
  </r>
  <r>
    <m/>
    <x v="0"/>
    <x v="1"/>
    <x v="1"/>
    <x v="0"/>
    <x v="0"/>
    <x v="4"/>
    <x v="39"/>
    <x v="1"/>
    <x v="2"/>
    <x v="0"/>
    <n v="35430"/>
  </r>
  <r>
    <m/>
    <x v="0"/>
    <x v="1"/>
    <x v="1"/>
    <x v="0"/>
    <x v="0"/>
    <x v="4"/>
    <x v="40"/>
    <x v="1"/>
    <x v="2"/>
    <x v="0"/>
    <n v="35430"/>
  </r>
  <r>
    <m/>
    <x v="0"/>
    <x v="1"/>
    <x v="1"/>
    <x v="0"/>
    <x v="0"/>
    <x v="4"/>
    <x v="41"/>
    <x v="1"/>
    <x v="2"/>
    <x v="0"/>
    <n v="35430"/>
  </r>
  <r>
    <m/>
    <x v="0"/>
    <x v="1"/>
    <x v="1"/>
    <x v="0"/>
    <x v="0"/>
    <x v="4"/>
    <x v="42"/>
    <x v="1"/>
    <x v="2"/>
    <x v="0"/>
    <n v="35430"/>
  </r>
  <r>
    <m/>
    <x v="0"/>
    <x v="1"/>
    <x v="1"/>
    <x v="0"/>
    <x v="0"/>
    <x v="4"/>
    <x v="43"/>
    <x v="1"/>
    <x v="2"/>
    <x v="0"/>
    <n v="35430"/>
  </r>
  <r>
    <m/>
    <x v="0"/>
    <x v="0"/>
    <x v="0"/>
    <x v="0"/>
    <x v="2"/>
    <x v="7"/>
    <x v="59"/>
    <x v="0"/>
    <x v="1"/>
    <x v="0"/>
    <n v="26180"/>
  </r>
  <r>
    <m/>
    <x v="0"/>
    <x v="0"/>
    <x v="0"/>
    <x v="0"/>
    <x v="2"/>
    <x v="7"/>
    <x v="60"/>
    <x v="0"/>
    <x v="1"/>
    <x v="0"/>
    <n v="26180"/>
  </r>
  <r>
    <m/>
    <x v="0"/>
    <x v="0"/>
    <x v="0"/>
    <x v="0"/>
    <x v="2"/>
    <x v="7"/>
    <x v="61"/>
    <x v="0"/>
    <x v="1"/>
    <x v="0"/>
    <n v="26180"/>
  </r>
  <r>
    <m/>
    <x v="0"/>
    <x v="0"/>
    <x v="0"/>
    <x v="0"/>
    <x v="2"/>
    <x v="7"/>
    <x v="62"/>
    <x v="0"/>
    <x v="1"/>
    <x v="0"/>
    <n v="26180"/>
  </r>
  <r>
    <m/>
    <x v="0"/>
    <x v="0"/>
    <x v="0"/>
    <x v="0"/>
    <x v="2"/>
    <x v="7"/>
    <x v="63"/>
    <x v="0"/>
    <x v="1"/>
    <x v="0"/>
    <n v="26180"/>
  </r>
  <r>
    <m/>
    <x v="0"/>
    <x v="0"/>
    <x v="0"/>
    <x v="0"/>
    <x v="2"/>
    <x v="7"/>
    <x v="64"/>
    <x v="0"/>
    <x v="1"/>
    <x v="0"/>
    <n v="26180"/>
  </r>
  <r>
    <m/>
    <x v="0"/>
    <x v="0"/>
    <x v="0"/>
    <x v="0"/>
    <x v="2"/>
    <x v="7"/>
    <x v="65"/>
    <x v="0"/>
    <x v="1"/>
    <x v="0"/>
    <n v="26180"/>
  </r>
  <r>
    <m/>
    <x v="0"/>
    <x v="0"/>
    <x v="0"/>
    <x v="0"/>
    <x v="2"/>
    <x v="7"/>
    <x v="66"/>
    <x v="0"/>
    <x v="1"/>
    <x v="0"/>
    <n v="26180"/>
  </r>
  <r>
    <m/>
    <x v="0"/>
    <x v="0"/>
    <x v="0"/>
    <x v="0"/>
    <x v="2"/>
    <x v="7"/>
    <x v="67"/>
    <x v="0"/>
    <x v="1"/>
    <x v="0"/>
    <n v="26180"/>
  </r>
  <r>
    <m/>
    <x v="0"/>
    <x v="0"/>
    <x v="0"/>
    <x v="0"/>
    <x v="2"/>
    <x v="7"/>
    <x v="68"/>
    <x v="0"/>
    <x v="1"/>
    <x v="0"/>
    <n v="26180"/>
  </r>
  <r>
    <m/>
    <x v="0"/>
    <x v="0"/>
    <x v="0"/>
    <x v="0"/>
    <x v="2"/>
    <x v="7"/>
    <x v="69"/>
    <x v="0"/>
    <x v="1"/>
    <x v="0"/>
    <n v="26180"/>
  </r>
  <r>
    <m/>
    <x v="0"/>
    <x v="0"/>
    <x v="0"/>
    <x v="0"/>
    <x v="2"/>
    <x v="7"/>
    <x v="70"/>
    <x v="0"/>
    <x v="1"/>
    <x v="0"/>
    <n v="26180"/>
  </r>
  <r>
    <m/>
    <x v="0"/>
    <x v="0"/>
    <x v="0"/>
    <x v="0"/>
    <x v="2"/>
    <x v="7"/>
    <x v="2"/>
    <x v="0"/>
    <x v="1"/>
    <x v="0"/>
    <n v="26180"/>
  </r>
  <r>
    <m/>
    <x v="0"/>
    <x v="0"/>
    <x v="0"/>
    <x v="0"/>
    <x v="2"/>
    <x v="7"/>
    <x v="71"/>
    <x v="0"/>
    <x v="1"/>
    <x v="0"/>
    <n v="26180"/>
  </r>
  <r>
    <m/>
    <x v="0"/>
    <x v="0"/>
    <x v="0"/>
    <x v="0"/>
    <x v="2"/>
    <x v="7"/>
    <x v="72"/>
    <x v="0"/>
    <x v="1"/>
    <x v="0"/>
    <n v="26180"/>
  </r>
  <r>
    <m/>
    <x v="0"/>
    <x v="0"/>
    <x v="0"/>
    <x v="0"/>
    <x v="0"/>
    <x v="6"/>
    <x v="0"/>
    <x v="0"/>
    <x v="0"/>
    <x v="0"/>
    <n v="23140"/>
  </r>
  <r>
    <m/>
    <x v="0"/>
    <x v="0"/>
    <x v="1"/>
    <x v="4"/>
    <x v="3"/>
    <x v="2"/>
    <x v="98"/>
    <x v="1"/>
    <x v="0"/>
    <x v="0"/>
    <n v="19470"/>
  </r>
  <r>
    <m/>
    <x v="0"/>
    <x v="0"/>
    <x v="1"/>
    <x v="6"/>
    <x v="1"/>
    <x v="1"/>
    <x v="94"/>
    <x v="1"/>
    <x v="1"/>
    <x v="0"/>
    <n v="18710"/>
  </r>
  <r>
    <m/>
    <x v="0"/>
    <x v="0"/>
    <x v="1"/>
    <x v="6"/>
    <x v="1"/>
    <x v="1"/>
    <x v="97"/>
    <x v="1"/>
    <x v="1"/>
    <x v="0"/>
    <n v="17210"/>
  </r>
  <r>
    <m/>
    <x v="0"/>
    <x v="0"/>
    <x v="1"/>
    <x v="6"/>
    <x v="1"/>
    <x v="1"/>
    <x v="98"/>
    <x v="1"/>
    <x v="1"/>
    <x v="0"/>
    <n v="17960"/>
  </r>
  <r>
    <m/>
    <x v="0"/>
    <x v="0"/>
    <x v="1"/>
    <x v="6"/>
    <x v="1"/>
    <x v="2"/>
    <x v="94"/>
    <x v="1"/>
    <x v="0"/>
    <x v="0"/>
    <n v="20960"/>
  </r>
  <r>
    <m/>
    <x v="0"/>
    <x v="0"/>
    <x v="1"/>
    <x v="6"/>
    <x v="1"/>
    <x v="2"/>
    <x v="97"/>
    <x v="1"/>
    <x v="0"/>
    <x v="0"/>
    <n v="19460"/>
  </r>
  <r>
    <m/>
    <x v="0"/>
    <x v="0"/>
    <x v="1"/>
    <x v="6"/>
    <x v="1"/>
    <x v="2"/>
    <x v="98"/>
    <x v="1"/>
    <x v="0"/>
    <x v="0"/>
    <n v="20210"/>
  </r>
  <r>
    <m/>
    <x v="0"/>
    <x v="0"/>
    <x v="1"/>
    <x v="6"/>
    <x v="3"/>
    <x v="1"/>
    <x v="94"/>
    <x v="1"/>
    <x v="1"/>
    <x v="0"/>
    <n v="19850"/>
  </r>
  <r>
    <m/>
    <x v="0"/>
    <x v="0"/>
    <x v="1"/>
    <x v="6"/>
    <x v="3"/>
    <x v="1"/>
    <x v="97"/>
    <x v="1"/>
    <x v="1"/>
    <x v="0"/>
    <n v="18330"/>
  </r>
  <r>
    <m/>
    <x v="0"/>
    <x v="0"/>
    <x v="1"/>
    <x v="6"/>
    <x v="3"/>
    <x v="1"/>
    <x v="98"/>
    <x v="1"/>
    <x v="1"/>
    <x v="0"/>
    <n v="19090"/>
  </r>
  <r>
    <m/>
    <x v="0"/>
    <x v="0"/>
    <x v="1"/>
    <x v="6"/>
    <x v="3"/>
    <x v="2"/>
    <x v="94"/>
    <x v="1"/>
    <x v="0"/>
    <x v="0"/>
    <n v="22930"/>
  </r>
  <r>
    <m/>
    <x v="0"/>
    <x v="0"/>
    <x v="1"/>
    <x v="6"/>
    <x v="3"/>
    <x v="2"/>
    <x v="97"/>
    <x v="1"/>
    <x v="0"/>
    <x v="0"/>
    <n v="21410"/>
  </r>
  <r>
    <m/>
    <x v="0"/>
    <x v="0"/>
    <x v="1"/>
    <x v="6"/>
    <x v="3"/>
    <x v="2"/>
    <x v="98"/>
    <x v="1"/>
    <x v="0"/>
    <x v="0"/>
    <n v="22170"/>
  </r>
  <r>
    <m/>
    <x v="0"/>
    <x v="0"/>
    <x v="1"/>
    <x v="0"/>
    <x v="0"/>
    <x v="7"/>
    <x v="71"/>
    <x v="1"/>
    <x v="0"/>
    <x v="0"/>
    <n v="27450"/>
  </r>
  <r>
    <m/>
    <x v="0"/>
    <x v="0"/>
    <x v="1"/>
    <x v="0"/>
    <x v="0"/>
    <x v="7"/>
    <x v="72"/>
    <x v="1"/>
    <x v="0"/>
    <x v="0"/>
    <n v="27450"/>
  </r>
  <r>
    <m/>
    <x v="0"/>
    <x v="0"/>
    <x v="1"/>
    <x v="2"/>
    <x v="2"/>
    <x v="6"/>
    <x v="0"/>
    <x v="1"/>
    <x v="1"/>
    <x v="0"/>
    <n v="21470"/>
  </r>
  <r>
    <m/>
    <x v="0"/>
    <x v="0"/>
    <x v="1"/>
    <x v="2"/>
    <x v="2"/>
    <x v="6"/>
    <x v="56"/>
    <x v="1"/>
    <x v="1"/>
    <x v="0"/>
    <n v="21470"/>
  </r>
  <r>
    <m/>
    <x v="0"/>
    <x v="0"/>
    <x v="1"/>
    <x v="2"/>
    <x v="2"/>
    <x v="6"/>
    <x v="57"/>
    <x v="1"/>
    <x v="1"/>
    <x v="0"/>
    <n v="21470"/>
  </r>
  <r>
    <m/>
    <x v="0"/>
    <x v="0"/>
    <x v="1"/>
    <x v="2"/>
    <x v="2"/>
    <x v="6"/>
    <x v="58"/>
    <x v="1"/>
    <x v="1"/>
    <x v="0"/>
    <n v="21470"/>
  </r>
  <r>
    <m/>
    <x v="0"/>
    <x v="0"/>
    <x v="1"/>
    <x v="2"/>
    <x v="2"/>
    <x v="6"/>
    <x v="59"/>
    <x v="1"/>
    <x v="1"/>
    <x v="0"/>
    <n v="21470"/>
  </r>
  <r>
    <m/>
    <x v="0"/>
    <x v="0"/>
    <x v="1"/>
    <x v="2"/>
    <x v="2"/>
    <x v="6"/>
    <x v="60"/>
    <x v="1"/>
    <x v="1"/>
    <x v="0"/>
    <n v="21470"/>
  </r>
  <r>
    <m/>
    <x v="0"/>
    <x v="0"/>
    <x v="1"/>
    <x v="2"/>
    <x v="2"/>
    <x v="6"/>
    <x v="61"/>
    <x v="1"/>
    <x v="1"/>
    <x v="0"/>
    <n v="21470"/>
  </r>
  <r>
    <m/>
    <x v="0"/>
    <x v="0"/>
    <x v="1"/>
    <x v="2"/>
    <x v="2"/>
    <x v="6"/>
    <x v="62"/>
    <x v="1"/>
    <x v="1"/>
    <x v="0"/>
    <n v="21470"/>
  </r>
  <r>
    <m/>
    <x v="0"/>
    <x v="0"/>
    <x v="1"/>
    <x v="2"/>
    <x v="2"/>
    <x v="6"/>
    <x v="63"/>
    <x v="1"/>
    <x v="1"/>
    <x v="0"/>
    <n v="21470"/>
  </r>
  <r>
    <m/>
    <x v="0"/>
    <x v="0"/>
    <x v="1"/>
    <x v="2"/>
    <x v="2"/>
    <x v="6"/>
    <x v="64"/>
    <x v="1"/>
    <x v="1"/>
    <x v="0"/>
    <n v="21470"/>
  </r>
  <r>
    <m/>
    <x v="0"/>
    <x v="0"/>
    <x v="1"/>
    <x v="2"/>
    <x v="2"/>
    <x v="6"/>
    <x v="65"/>
    <x v="1"/>
    <x v="1"/>
    <x v="0"/>
    <n v="21470"/>
  </r>
  <r>
    <m/>
    <x v="0"/>
    <x v="0"/>
    <x v="1"/>
    <x v="2"/>
    <x v="2"/>
    <x v="6"/>
    <x v="66"/>
    <x v="1"/>
    <x v="1"/>
    <x v="0"/>
    <n v="21470"/>
  </r>
  <r>
    <m/>
    <x v="0"/>
    <x v="0"/>
    <x v="1"/>
    <x v="2"/>
    <x v="2"/>
    <x v="6"/>
    <x v="67"/>
    <x v="1"/>
    <x v="1"/>
    <x v="0"/>
    <n v="21470"/>
  </r>
  <r>
    <m/>
    <x v="0"/>
    <x v="0"/>
    <x v="1"/>
    <x v="2"/>
    <x v="2"/>
    <x v="6"/>
    <x v="68"/>
    <x v="1"/>
    <x v="1"/>
    <x v="0"/>
    <n v="21470"/>
  </r>
  <r>
    <m/>
    <x v="0"/>
    <x v="0"/>
    <x v="1"/>
    <x v="2"/>
    <x v="2"/>
    <x v="6"/>
    <x v="69"/>
    <x v="1"/>
    <x v="1"/>
    <x v="0"/>
    <n v="21470"/>
  </r>
  <r>
    <m/>
    <x v="0"/>
    <x v="0"/>
    <x v="1"/>
    <x v="2"/>
    <x v="2"/>
    <x v="6"/>
    <x v="70"/>
    <x v="1"/>
    <x v="1"/>
    <x v="0"/>
    <n v="21470"/>
  </r>
  <r>
    <m/>
    <x v="0"/>
    <x v="0"/>
    <x v="0"/>
    <x v="1"/>
    <x v="1"/>
    <x v="2"/>
    <x v="1"/>
    <x v="0"/>
    <x v="0"/>
    <x v="0"/>
    <n v="27300"/>
  </r>
  <r>
    <m/>
    <x v="0"/>
    <x v="0"/>
    <x v="0"/>
    <x v="0"/>
    <x v="0"/>
    <x v="6"/>
    <x v="56"/>
    <x v="0"/>
    <x v="0"/>
    <x v="0"/>
    <n v="23140"/>
  </r>
  <r>
    <m/>
    <x v="0"/>
    <x v="0"/>
    <x v="1"/>
    <x v="5"/>
    <x v="1"/>
    <x v="1"/>
    <x v="94"/>
    <x v="1"/>
    <x v="1"/>
    <x v="0"/>
    <n v="21110"/>
  </r>
  <r>
    <m/>
    <x v="0"/>
    <x v="0"/>
    <x v="1"/>
    <x v="2"/>
    <x v="2"/>
    <x v="6"/>
    <x v="2"/>
    <x v="1"/>
    <x v="1"/>
    <x v="0"/>
    <n v="21470"/>
  </r>
  <r>
    <m/>
    <x v="0"/>
    <x v="1"/>
    <x v="0"/>
    <x v="0"/>
    <x v="0"/>
    <x v="5"/>
    <x v="53"/>
    <x v="0"/>
    <x v="2"/>
    <x v="0"/>
    <n v="42250"/>
  </r>
  <r>
    <m/>
    <x v="0"/>
    <x v="1"/>
    <x v="0"/>
    <x v="2"/>
    <x v="3"/>
    <x v="2"/>
    <x v="3"/>
    <x v="0"/>
    <x v="2"/>
    <x v="0"/>
    <n v="36770"/>
  </r>
  <r>
    <m/>
    <x v="0"/>
    <x v="1"/>
    <x v="1"/>
    <x v="0"/>
    <x v="0"/>
    <x v="4"/>
    <x v="44"/>
    <x v="1"/>
    <x v="2"/>
    <x v="0"/>
    <n v="35430"/>
  </r>
  <r>
    <m/>
    <x v="0"/>
    <x v="1"/>
    <x v="1"/>
    <x v="2"/>
    <x v="1"/>
    <x v="2"/>
    <x v="54"/>
    <x v="1"/>
    <x v="2"/>
    <x v="0"/>
    <n v="29860"/>
  </r>
  <r>
    <s v="CSKU00046_2EK"/>
    <x v="0"/>
    <x v="0"/>
    <x v="0"/>
    <x v="5"/>
    <x v="3"/>
    <x v="1"/>
    <x v="112"/>
    <x v="0"/>
    <x v="4"/>
    <x v="0"/>
    <n v="23420"/>
  </r>
  <r>
    <s v="CSKU00312_2EK"/>
    <x v="0"/>
    <x v="0"/>
    <x v="0"/>
    <x v="6"/>
    <x v="3"/>
    <x v="1"/>
    <x v="113"/>
    <x v="0"/>
    <x v="4"/>
    <x v="0"/>
    <n v="25300"/>
  </r>
  <r>
    <s v="CSKU00847_2EK"/>
    <x v="0"/>
    <x v="0"/>
    <x v="0"/>
    <x v="4"/>
    <x v="1"/>
    <x v="2"/>
    <x v="7"/>
    <x v="0"/>
    <x v="5"/>
    <x v="0"/>
    <n v="23140"/>
  </r>
  <r>
    <s v="CSKU01216_2EK"/>
    <x v="0"/>
    <x v="0"/>
    <x v="0"/>
    <x v="5"/>
    <x v="3"/>
    <x v="1"/>
    <x v="8"/>
    <x v="0"/>
    <x v="4"/>
    <x v="0"/>
    <n v="27800"/>
  </r>
  <r>
    <s v="CSKU00047_2EK"/>
    <x v="0"/>
    <x v="0"/>
    <x v="0"/>
    <x v="5"/>
    <x v="3"/>
    <x v="2"/>
    <x v="112"/>
    <x v="0"/>
    <x v="5"/>
    <x v="0"/>
    <n v="27050"/>
  </r>
  <r>
    <s v="CSKU00048_2EK"/>
    <x v="0"/>
    <x v="0"/>
    <x v="1"/>
    <x v="4"/>
    <x v="1"/>
    <x v="1"/>
    <x v="112"/>
    <x v="1"/>
    <x v="4"/>
    <x v="0"/>
    <n v="16680"/>
  </r>
  <r>
    <s v="CSKU00049_2EK"/>
    <x v="0"/>
    <x v="0"/>
    <x v="1"/>
    <x v="4"/>
    <x v="1"/>
    <x v="2"/>
    <x v="112"/>
    <x v="1"/>
    <x v="5"/>
    <x v="0"/>
    <n v="18720"/>
  </r>
  <r>
    <s v="CSKU00050_2EK"/>
    <x v="0"/>
    <x v="0"/>
    <x v="1"/>
    <x v="4"/>
    <x v="3"/>
    <x v="1"/>
    <x v="112"/>
    <x v="1"/>
    <x v="4"/>
    <x v="0"/>
    <n v="18160"/>
  </r>
  <r>
    <s v="CSKU00051_2EK"/>
    <x v="0"/>
    <x v="0"/>
    <x v="1"/>
    <x v="4"/>
    <x v="3"/>
    <x v="2"/>
    <x v="112"/>
    <x v="1"/>
    <x v="5"/>
    <x v="0"/>
    <n v="20520"/>
  </r>
  <r>
    <s v="CSKU00052_2EK"/>
    <x v="0"/>
    <x v="0"/>
    <x v="1"/>
    <x v="6"/>
    <x v="1"/>
    <x v="1"/>
    <x v="112"/>
    <x v="1"/>
    <x v="4"/>
    <x v="0"/>
    <n v="18710"/>
  </r>
  <r>
    <s v="CSKU00053_2EK"/>
    <x v="0"/>
    <x v="0"/>
    <x v="1"/>
    <x v="6"/>
    <x v="1"/>
    <x v="2"/>
    <x v="112"/>
    <x v="1"/>
    <x v="5"/>
    <x v="0"/>
    <n v="20960"/>
  </r>
  <r>
    <s v="CSKU00054_2EK"/>
    <x v="0"/>
    <x v="0"/>
    <x v="1"/>
    <x v="6"/>
    <x v="3"/>
    <x v="1"/>
    <x v="112"/>
    <x v="1"/>
    <x v="4"/>
    <x v="0"/>
    <n v="19850"/>
  </r>
  <r>
    <s v="CSKU00055_2EK"/>
    <x v="0"/>
    <x v="0"/>
    <x v="1"/>
    <x v="6"/>
    <x v="3"/>
    <x v="2"/>
    <x v="112"/>
    <x v="1"/>
    <x v="5"/>
    <x v="0"/>
    <n v="22930"/>
  </r>
  <r>
    <s v="CSKU00056_2EK"/>
    <x v="0"/>
    <x v="0"/>
    <x v="1"/>
    <x v="5"/>
    <x v="1"/>
    <x v="1"/>
    <x v="112"/>
    <x v="1"/>
    <x v="4"/>
    <x v="0"/>
    <n v="21110"/>
  </r>
  <r>
    <s v="CSKU00057_2EK"/>
    <x v="0"/>
    <x v="0"/>
    <x v="1"/>
    <x v="5"/>
    <x v="1"/>
    <x v="2"/>
    <x v="112"/>
    <x v="1"/>
    <x v="5"/>
    <x v="0"/>
    <n v="23540"/>
  </r>
  <r>
    <s v="CSKU00058_2EK"/>
    <x v="0"/>
    <x v="0"/>
    <x v="1"/>
    <x v="5"/>
    <x v="3"/>
    <x v="1"/>
    <x v="112"/>
    <x v="1"/>
    <x v="4"/>
    <x v="0"/>
    <n v="22230"/>
  </r>
  <r>
    <s v="CSKU00059_2EK"/>
    <x v="0"/>
    <x v="0"/>
    <x v="1"/>
    <x v="5"/>
    <x v="3"/>
    <x v="2"/>
    <x v="112"/>
    <x v="1"/>
    <x v="5"/>
    <x v="0"/>
    <n v="25500"/>
  </r>
  <r>
    <s v="CSKU00313_2EK"/>
    <x v="0"/>
    <x v="0"/>
    <x v="0"/>
    <x v="6"/>
    <x v="3"/>
    <x v="2"/>
    <x v="113"/>
    <x v="0"/>
    <x v="5"/>
    <x v="0"/>
    <n v="28760"/>
  </r>
  <r>
    <s v="CSKU00314_2EK"/>
    <x v="0"/>
    <x v="0"/>
    <x v="0"/>
    <x v="5"/>
    <x v="1"/>
    <x v="1"/>
    <x v="113"/>
    <x v="0"/>
    <x v="4"/>
    <x v="0"/>
    <n v="26180"/>
  </r>
  <r>
    <s v="CSKU00315_2EK"/>
    <x v="0"/>
    <x v="0"/>
    <x v="0"/>
    <x v="5"/>
    <x v="1"/>
    <x v="2"/>
    <x v="113"/>
    <x v="0"/>
    <x v="5"/>
    <x v="0"/>
    <n v="28890"/>
  </r>
  <r>
    <s v="CSKU00316_2EK"/>
    <x v="0"/>
    <x v="0"/>
    <x v="0"/>
    <x v="5"/>
    <x v="3"/>
    <x v="1"/>
    <x v="113"/>
    <x v="0"/>
    <x v="4"/>
    <x v="0"/>
    <n v="27800"/>
  </r>
  <r>
    <s v="CSKU00317_2EK"/>
    <x v="0"/>
    <x v="0"/>
    <x v="0"/>
    <x v="5"/>
    <x v="3"/>
    <x v="2"/>
    <x v="113"/>
    <x v="0"/>
    <x v="5"/>
    <x v="0"/>
    <n v="31430"/>
  </r>
  <r>
    <s v="CSKU00318_2EK"/>
    <x v="0"/>
    <x v="0"/>
    <x v="1"/>
    <x v="4"/>
    <x v="1"/>
    <x v="1"/>
    <x v="113"/>
    <x v="1"/>
    <x v="4"/>
    <x v="0"/>
    <n v="19840"/>
  </r>
  <r>
    <s v="CSKU00319_2EK"/>
    <x v="0"/>
    <x v="0"/>
    <x v="1"/>
    <x v="4"/>
    <x v="1"/>
    <x v="2"/>
    <x v="113"/>
    <x v="1"/>
    <x v="5"/>
    <x v="0"/>
    <n v="21880"/>
  </r>
  <r>
    <s v="CSKU00320_2EK"/>
    <x v="0"/>
    <x v="0"/>
    <x v="1"/>
    <x v="4"/>
    <x v="3"/>
    <x v="1"/>
    <x v="113"/>
    <x v="1"/>
    <x v="4"/>
    <x v="0"/>
    <n v="21470"/>
  </r>
  <r>
    <s v="CSKU00321_2EK"/>
    <x v="0"/>
    <x v="0"/>
    <x v="1"/>
    <x v="4"/>
    <x v="3"/>
    <x v="2"/>
    <x v="113"/>
    <x v="1"/>
    <x v="5"/>
    <x v="0"/>
    <n v="23830"/>
  </r>
  <r>
    <s v="CSKU00322_2EK"/>
    <x v="0"/>
    <x v="0"/>
    <x v="1"/>
    <x v="6"/>
    <x v="1"/>
    <x v="1"/>
    <x v="113"/>
    <x v="1"/>
    <x v="4"/>
    <x v="0"/>
    <n v="22780"/>
  </r>
  <r>
    <s v="CSKU00323_2EK"/>
    <x v="0"/>
    <x v="0"/>
    <x v="1"/>
    <x v="6"/>
    <x v="1"/>
    <x v="2"/>
    <x v="113"/>
    <x v="1"/>
    <x v="5"/>
    <x v="0"/>
    <n v="25030"/>
  </r>
  <r>
    <s v="CSKU00848_2EK"/>
    <x v="0"/>
    <x v="0"/>
    <x v="0"/>
    <x v="4"/>
    <x v="3"/>
    <x v="1"/>
    <x v="7"/>
    <x v="0"/>
    <x v="4"/>
    <x v="0"/>
    <n v="22570"/>
  </r>
  <r>
    <s v="CSKU00849_2EK"/>
    <x v="0"/>
    <x v="0"/>
    <x v="0"/>
    <x v="4"/>
    <x v="3"/>
    <x v="2"/>
    <x v="7"/>
    <x v="0"/>
    <x v="5"/>
    <x v="0"/>
    <n v="25190"/>
  </r>
  <r>
    <s v="CSKU00850_2EK"/>
    <x v="0"/>
    <x v="0"/>
    <x v="0"/>
    <x v="6"/>
    <x v="1"/>
    <x v="1"/>
    <x v="7"/>
    <x v="0"/>
    <x v="4"/>
    <x v="0"/>
    <n v="23870"/>
  </r>
  <r>
    <s v="CSKU00851_2EK"/>
    <x v="0"/>
    <x v="0"/>
    <x v="0"/>
    <x v="6"/>
    <x v="1"/>
    <x v="2"/>
    <x v="7"/>
    <x v="0"/>
    <x v="5"/>
    <x v="0"/>
    <n v="26390"/>
  </r>
  <r>
    <s v="CSKU00852_2EK"/>
    <x v="0"/>
    <x v="0"/>
    <x v="0"/>
    <x v="6"/>
    <x v="3"/>
    <x v="1"/>
    <x v="7"/>
    <x v="0"/>
    <x v="4"/>
    <x v="0"/>
    <n v="25300"/>
  </r>
  <r>
    <s v="CSKU00853_2EK"/>
    <x v="0"/>
    <x v="0"/>
    <x v="0"/>
    <x v="6"/>
    <x v="3"/>
    <x v="2"/>
    <x v="7"/>
    <x v="0"/>
    <x v="5"/>
    <x v="0"/>
    <n v="28760"/>
  </r>
  <r>
    <s v="CSKU00854_2EK"/>
    <x v="0"/>
    <x v="0"/>
    <x v="0"/>
    <x v="5"/>
    <x v="1"/>
    <x v="1"/>
    <x v="7"/>
    <x v="0"/>
    <x v="4"/>
    <x v="0"/>
    <n v="26180"/>
  </r>
  <r>
    <s v="CSKU00855_2EK"/>
    <x v="0"/>
    <x v="0"/>
    <x v="0"/>
    <x v="5"/>
    <x v="1"/>
    <x v="2"/>
    <x v="7"/>
    <x v="0"/>
    <x v="5"/>
    <x v="0"/>
    <n v="28890"/>
  </r>
  <r>
    <s v="CSKU00856_2EK"/>
    <x v="0"/>
    <x v="0"/>
    <x v="0"/>
    <x v="5"/>
    <x v="3"/>
    <x v="1"/>
    <x v="7"/>
    <x v="0"/>
    <x v="4"/>
    <x v="0"/>
    <n v="27800"/>
  </r>
  <r>
    <s v="CSKU00857_2EK"/>
    <x v="0"/>
    <x v="0"/>
    <x v="0"/>
    <x v="5"/>
    <x v="3"/>
    <x v="2"/>
    <x v="7"/>
    <x v="0"/>
    <x v="5"/>
    <x v="0"/>
    <n v="31430"/>
  </r>
  <r>
    <s v="CSKU00858_2EK"/>
    <x v="0"/>
    <x v="0"/>
    <x v="1"/>
    <x v="4"/>
    <x v="1"/>
    <x v="1"/>
    <x v="7"/>
    <x v="1"/>
    <x v="4"/>
    <x v="0"/>
    <n v="19840"/>
  </r>
  <r>
    <s v="CSKU00859_2EK"/>
    <x v="0"/>
    <x v="0"/>
    <x v="1"/>
    <x v="4"/>
    <x v="1"/>
    <x v="2"/>
    <x v="7"/>
    <x v="1"/>
    <x v="5"/>
    <x v="0"/>
    <n v="21880"/>
  </r>
  <r>
    <s v="CSKU01217_2EK"/>
    <x v="0"/>
    <x v="0"/>
    <x v="0"/>
    <x v="5"/>
    <x v="3"/>
    <x v="2"/>
    <x v="8"/>
    <x v="0"/>
    <x v="5"/>
    <x v="0"/>
    <n v="31430"/>
  </r>
  <r>
    <s v="CSKU01218_2EK"/>
    <x v="0"/>
    <x v="0"/>
    <x v="1"/>
    <x v="4"/>
    <x v="1"/>
    <x v="1"/>
    <x v="8"/>
    <x v="1"/>
    <x v="4"/>
    <x v="0"/>
    <n v="19840"/>
  </r>
  <r>
    <s v="CSKU01219_2EK"/>
    <x v="0"/>
    <x v="0"/>
    <x v="1"/>
    <x v="4"/>
    <x v="1"/>
    <x v="2"/>
    <x v="8"/>
    <x v="1"/>
    <x v="5"/>
    <x v="0"/>
    <n v="21880"/>
  </r>
  <r>
    <s v="CSKU01220_2EK"/>
    <x v="0"/>
    <x v="0"/>
    <x v="1"/>
    <x v="4"/>
    <x v="3"/>
    <x v="1"/>
    <x v="8"/>
    <x v="1"/>
    <x v="4"/>
    <x v="0"/>
    <n v="21470"/>
  </r>
  <r>
    <s v="CSKU01221_2EK"/>
    <x v="0"/>
    <x v="0"/>
    <x v="1"/>
    <x v="4"/>
    <x v="3"/>
    <x v="2"/>
    <x v="8"/>
    <x v="1"/>
    <x v="5"/>
    <x v="0"/>
    <n v="23830"/>
  </r>
  <r>
    <s v="CSKU01222_2EK"/>
    <x v="0"/>
    <x v="0"/>
    <x v="1"/>
    <x v="6"/>
    <x v="1"/>
    <x v="1"/>
    <x v="8"/>
    <x v="1"/>
    <x v="4"/>
    <x v="0"/>
    <n v="22780"/>
  </r>
  <r>
    <s v="CSKU01223_2EK"/>
    <x v="0"/>
    <x v="0"/>
    <x v="1"/>
    <x v="6"/>
    <x v="1"/>
    <x v="2"/>
    <x v="8"/>
    <x v="1"/>
    <x v="5"/>
    <x v="0"/>
    <n v="25030"/>
  </r>
  <r>
    <s v="CSKU01224_2EK"/>
    <x v="0"/>
    <x v="0"/>
    <x v="1"/>
    <x v="6"/>
    <x v="3"/>
    <x v="1"/>
    <x v="8"/>
    <x v="1"/>
    <x v="4"/>
    <x v="0"/>
    <n v="24190"/>
  </r>
  <r>
    <s v="CSKU01225_2EK"/>
    <x v="0"/>
    <x v="0"/>
    <x v="1"/>
    <x v="6"/>
    <x v="3"/>
    <x v="2"/>
    <x v="8"/>
    <x v="1"/>
    <x v="5"/>
    <x v="0"/>
    <n v="27270"/>
  </r>
  <r>
    <s v="CSKU01226_2EK"/>
    <x v="0"/>
    <x v="0"/>
    <x v="1"/>
    <x v="5"/>
    <x v="1"/>
    <x v="1"/>
    <x v="8"/>
    <x v="1"/>
    <x v="4"/>
    <x v="0"/>
    <n v="25020"/>
  </r>
  <r>
    <s v="CSKU01227_2EK"/>
    <x v="0"/>
    <x v="0"/>
    <x v="1"/>
    <x v="5"/>
    <x v="1"/>
    <x v="2"/>
    <x v="8"/>
    <x v="1"/>
    <x v="5"/>
    <x v="0"/>
    <n v="27450"/>
  </r>
  <r>
    <m/>
    <x v="0"/>
    <x v="1"/>
    <x v="1"/>
    <x v="1"/>
    <x v="1"/>
    <x v="1"/>
    <x v="55"/>
    <x v="1"/>
    <x v="3"/>
    <x v="0"/>
    <n v="23080"/>
  </r>
  <r>
    <m/>
    <x v="0"/>
    <x v="1"/>
    <x v="1"/>
    <x v="1"/>
    <x v="1"/>
    <x v="1"/>
    <x v="5"/>
    <x v="1"/>
    <x v="3"/>
    <x v="0"/>
    <n v="22180"/>
  </r>
  <r>
    <m/>
    <x v="0"/>
    <x v="1"/>
    <x v="1"/>
    <x v="1"/>
    <x v="1"/>
    <x v="1"/>
    <x v="54"/>
    <x v="1"/>
    <x v="3"/>
    <x v="0"/>
    <n v="20380"/>
  </r>
  <r>
    <m/>
    <x v="0"/>
    <x v="1"/>
    <x v="1"/>
    <x v="1"/>
    <x v="1"/>
    <x v="1"/>
    <x v="3"/>
    <x v="1"/>
    <x v="3"/>
    <x v="0"/>
    <n v="21280"/>
  </r>
  <r>
    <m/>
    <x v="0"/>
    <x v="1"/>
    <x v="1"/>
    <x v="1"/>
    <x v="1"/>
    <x v="2"/>
    <x v="55"/>
    <x v="1"/>
    <x v="2"/>
    <x v="0"/>
    <n v="25950"/>
  </r>
  <r>
    <m/>
    <x v="0"/>
    <x v="1"/>
    <x v="1"/>
    <x v="1"/>
    <x v="1"/>
    <x v="2"/>
    <x v="5"/>
    <x v="1"/>
    <x v="2"/>
    <x v="0"/>
    <n v="25050"/>
  </r>
  <r>
    <m/>
    <x v="0"/>
    <x v="1"/>
    <x v="1"/>
    <x v="1"/>
    <x v="1"/>
    <x v="2"/>
    <x v="54"/>
    <x v="1"/>
    <x v="2"/>
    <x v="0"/>
    <n v="23250"/>
  </r>
  <r>
    <m/>
    <x v="0"/>
    <x v="1"/>
    <x v="1"/>
    <x v="1"/>
    <x v="1"/>
    <x v="2"/>
    <x v="3"/>
    <x v="1"/>
    <x v="2"/>
    <x v="0"/>
    <n v="24150"/>
  </r>
  <r>
    <m/>
    <x v="0"/>
    <x v="1"/>
    <x v="1"/>
    <x v="1"/>
    <x v="3"/>
    <x v="1"/>
    <x v="55"/>
    <x v="1"/>
    <x v="3"/>
    <x v="0"/>
    <n v="24740"/>
  </r>
  <r>
    <m/>
    <x v="0"/>
    <x v="1"/>
    <x v="1"/>
    <x v="1"/>
    <x v="3"/>
    <x v="1"/>
    <x v="5"/>
    <x v="1"/>
    <x v="3"/>
    <x v="0"/>
    <n v="23690"/>
  </r>
  <r>
    <m/>
    <x v="0"/>
    <x v="1"/>
    <x v="1"/>
    <x v="1"/>
    <x v="3"/>
    <x v="1"/>
    <x v="54"/>
    <x v="1"/>
    <x v="3"/>
    <x v="0"/>
    <n v="21590"/>
  </r>
  <r>
    <m/>
    <x v="0"/>
    <x v="1"/>
    <x v="1"/>
    <x v="1"/>
    <x v="3"/>
    <x v="1"/>
    <x v="3"/>
    <x v="1"/>
    <x v="3"/>
    <x v="0"/>
    <n v="22640"/>
  </r>
  <r>
    <m/>
    <x v="0"/>
    <x v="1"/>
    <x v="1"/>
    <x v="0"/>
    <x v="0"/>
    <x v="4"/>
    <x v="45"/>
    <x v="1"/>
    <x v="2"/>
    <x v="0"/>
    <n v="35430"/>
  </r>
  <r>
    <m/>
    <x v="0"/>
    <x v="1"/>
    <x v="1"/>
    <x v="0"/>
    <x v="0"/>
    <x v="4"/>
    <x v="46"/>
    <x v="1"/>
    <x v="2"/>
    <x v="0"/>
    <n v="35430"/>
  </r>
  <r>
    <m/>
    <x v="0"/>
    <x v="1"/>
    <x v="1"/>
    <x v="0"/>
    <x v="0"/>
    <x v="4"/>
    <x v="4"/>
    <x v="1"/>
    <x v="2"/>
    <x v="0"/>
    <n v="35430"/>
  </r>
  <r>
    <m/>
    <x v="0"/>
    <x v="1"/>
    <x v="1"/>
    <x v="0"/>
    <x v="0"/>
    <x v="4"/>
    <x v="47"/>
    <x v="1"/>
    <x v="2"/>
    <x v="0"/>
    <n v="35430"/>
  </r>
  <r>
    <m/>
    <x v="0"/>
    <x v="1"/>
    <x v="1"/>
    <x v="0"/>
    <x v="0"/>
    <x v="4"/>
    <x v="48"/>
    <x v="1"/>
    <x v="2"/>
    <x v="0"/>
    <n v="35430"/>
  </r>
  <r>
    <m/>
    <x v="0"/>
    <x v="1"/>
    <x v="1"/>
    <x v="0"/>
    <x v="0"/>
    <x v="5"/>
    <x v="49"/>
    <x v="1"/>
    <x v="2"/>
    <x v="0"/>
    <n v="40400"/>
  </r>
  <r>
    <m/>
    <x v="0"/>
    <x v="1"/>
    <x v="1"/>
    <x v="0"/>
    <x v="0"/>
    <x v="5"/>
    <x v="50"/>
    <x v="1"/>
    <x v="2"/>
    <x v="0"/>
    <n v="40400"/>
  </r>
  <r>
    <m/>
    <x v="0"/>
    <x v="1"/>
    <x v="1"/>
    <x v="0"/>
    <x v="0"/>
    <x v="5"/>
    <x v="51"/>
    <x v="1"/>
    <x v="2"/>
    <x v="0"/>
    <n v="40400"/>
  </r>
  <r>
    <m/>
    <x v="0"/>
    <x v="1"/>
    <x v="1"/>
    <x v="0"/>
    <x v="0"/>
    <x v="5"/>
    <x v="52"/>
    <x v="1"/>
    <x v="2"/>
    <x v="0"/>
    <n v="40400"/>
  </r>
  <r>
    <m/>
    <x v="0"/>
    <x v="1"/>
    <x v="1"/>
    <x v="0"/>
    <x v="0"/>
    <x v="5"/>
    <x v="53"/>
    <x v="1"/>
    <x v="2"/>
    <x v="0"/>
    <n v="40400"/>
  </r>
  <r>
    <m/>
    <x v="0"/>
    <x v="1"/>
    <x v="1"/>
    <x v="0"/>
    <x v="0"/>
    <x v="5"/>
    <x v="6"/>
    <x v="1"/>
    <x v="2"/>
    <x v="0"/>
    <n v="40400"/>
  </r>
  <r>
    <m/>
    <x v="0"/>
    <x v="1"/>
    <x v="1"/>
    <x v="0"/>
    <x v="0"/>
    <x v="5"/>
    <x v="37"/>
    <x v="1"/>
    <x v="2"/>
    <x v="0"/>
    <n v="40400"/>
  </r>
  <r>
    <m/>
    <x v="0"/>
    <x v="1"/>
    <x v="1"/>
    <x v="0"/>
    <x v="0"/>
    <x v="5"/>
    <x v="38"/>
    <x v="1"/>
    <x v="2"/>
    <x v="0"/>
    <n v="40400"/>
  </r>
  <r>
    <m/>
    <x v="0"/>
    <x v="1"/>
    <x v="1"/>
    <x v="0"/>
    <x v="0"/>
    <x v="5"/>
    <x v="39"/>
    <x v="1"/>
    <x v="2"/>
    <x v="0"/>
    <n v="40400"/>
  </r>
  <r>
    <m/>
    <x v="0"/>
    <x v="1"/>
    <x v="1"/>
    <x v="2"/>
    <x v="1"/>
    <x v="2"/>
    <x v="3"/>
    <x v="1"/>
    <x v="2"/>
    <x v="0"/>
    <n v="30770"/>
  </r>
  <r>
    <m/>
    <x v="0"/>
    <x v="1"/>
    <x v="1"/>
    <x v="2"/>
    <x v="3"/>
    <x v="1"/>
    <x v="55"/>
    <x v="1"/>
    <x v="3"/>
    <x v="0"/>
    <n v="31160"/>
  </r>
  <r>
    <m/>
    <x v="0"/>
    <x v="1"/>
    <x v="1"/>
    <x v="2"/>
    <x v="3"/>
    <x v="1"/>
    <x v="5"/>
    <x v="1"/>
    <x v="3"/>
    <x v="0"/>
    <n v="30260"/>
  </r>
  <r>
    <m/>
    <x v="0"/>
    <x v="1"/>
    <x v="1"/>
    <x v="2"/>
    <x v="3"/>
    <x v="1"/>
    <x v="54"/>
    <x v="1"/>
    <x v="3"/>
    <x v="0"/>
    <n v="28460"/>
  </r>
  <r>
    <m/>
    <x v="0"/>
    <x v="1"/>
    <x v="1"/>
    <x v="2"/>
    <x v="3"/>
    <x v="1"/>
    <x v="3"/>
    <x v="1"/>
    <x v="3"/>
    <x v="0"/>
    <n v="29360"/>
  </r>
  <r>
    <m/>
    <x v="0"/>
    <x v="1"/>
    <x v="1"/>
    <x v="2"/>
    <x v="3"/>
    <x v="2"/>
    <x v="55"/>
    <x v="1"/>
    <x v="2"/>
    <x v="0"/>
    <n v="35290"/>
  </r>
  <r>
    <m/>
    <x v="0"/>
    <x v="1"/>
    <x v="1"/>
    <x v="2"/>
    <x v="3"/>
    <x v="2"/>
    <x v="5"/>
    <x v="1"/>
    <x v="2"/>
    <x v="0"/>
    <n v="34390"/>
  </r>
  <r>
    <m/>
    <x v="0"/>
    <x v="1"/>
    <x v="1"/>
    <x v="2"/>
    <x v="3"/>
    <x v="2"/>
    <x v="54"/>
    <x v="1"/>
    <x v="2"/>
    <x v="0"/>
    <n v="32590"/>
  </r>
  <r>
    <m/>
    <x v="0"/>
    <x v="1"/>
    <x v="1"/>
    <x v="2"/>
    <x v="3"/>
    <x v="2"/>
    <x v="3"/>
    <x v="1"/>
    <x v="2"/>
    <x v="0"/>
    <n v="33490"/>
  </r>
  <r>
    <s v="CSKU00324_2EK"/>
    <x v="0"/>
    <x v="0"/>
    <x v="1"/>
    <x v="6"/>
    <x v="3"/>
    <x v="1"/>
    <x v="113"/>
    <x v="1"/>
    <x v="4"/>
    <x v="0"/>
    <n v="24190"/>
  </r>
  <r>
    <s v="CSKU00325_2EK"/>
    <x v="0"/>
    <x v="0"/>
    <x v="1"/>
    <x v="6"/>
    <x v="3"/>
    <x v="2"/>
    <x v="113"/>
    <x v="1"/>
    <x v="5"/>
    <x v="0"/>
    <n v="27270"/>
  </r>
  <r>
    <s v="CSKU00326_2EK"/>
    <x v="0"/>
    <x v="0"/>
    <x v="1"/>
    <x v="5"/>
    <x v="1"/>
    <x v="1"/>
    <x v="113"/>
    <x v="1"/>
    <x v="4"/>
    <x v="0"/>
    <n v="25020"/>
  </r>
  <r>
    <s v="CSKU00327_2EK"/>
    <x v="0"/>
    <x v="0"/>
    <x v="1"/>
    <x v="5"/>
    <x v="1"/>
    <x v="2"/>
    <x v="113"/>
    <x v="1"/>
    <x v="5"/>
    <x v="0"/>
    <n v="27450"/>
  </r>
  <r>
    <s v="CSKU00328_2EK"/>
    <x v="0"/>
    <x v="0"/>
    <x v="1"/>
    <x v="5"/>
    <x v="3"/>
    <x v="1"/>
    <x v="113"/>
    <x v="1"/>
    <x v="4"/>
    <x v="0"/>
    <n v="26610"/>
  </r>
  <r>
    <s v="CSKU00329_2EK"/>
    <x v="0"/>
    <x v="0"/>
    <x v="1"/>
    <x v="5"/>
    <x v="3"/>
    <x v="2"/>
    <x v="113"/>
    <x v="1"/>
    <x v="5"/>
    <x v="0"/>
    <n v="29880"/>
  </r>
  <r>
    <m/>
    <x v="0"/>
    <x v="1"/>
    <x v="0"/>
    <x v="1"/>
    <x v="1"/>
    <x v="1"/>
    <x v="55"/>
    <x v="0"/>
    <x v="3"/>
    <x v="0"/>
    <n v="24400"/>
  </r>
  <r>
    <m/>
    <x v="0"/>
    <x v="1"/>
    <x v="0"/>
    <x v="1"/>
    <x v="1"/>
    <x v="1"/>
    <x v="5"/>
    <x v="0"/>
    <x v="3"/>
    <x v="0"/>
    <n v="23880"/>
  </r>
  <r>
    <m/>
    <x v="0"/>
    <x v="1"/>
    <x v="0"/>
    <x v="0"/>
    <x v="0"/>
    <x v="5"/>
    <x v="6"/>
    <x v="0"/>
    <x v="2"/>
    <x v="0"/>
    <n v="42250"/>
  </r>
  <r>
    <m/>
    <x v="0"/>
    <x v="1"/>
    <x v="0"/>
    <x v="0"/>
    <x v="0"/>
    <x v="5"/>
    <x v="37"/>
    <x v="0"/>
    <x v="2"/>
    <x v="0"/>
    <n v="42250"/>
  </r>
  <r>
    <m/>
    <x v="0"/>
    <x v="1"/>
    <x v="0"/>
    <x v="0"/>
    <x v="0"/>
    <x v="5"/>
    <x v="38"/>
    <x v="0"/>
    <x v="2"/>
    <x v="0"/>
    <n v="42250"/>
  </r>
  <r>
    <m/>
    <x v="0"/>
    <x v="1"/>
    <x v="0"/>
    <x v="0"/>
    <x v="0"/>
    <x v="5"/>
    <x v="39"/>
    <x v="0"/>
    <x v="2"/>
    <x v="0"/>
    <n v="42250"/>
  </r>
  <r>
    <m/>
    <x v="0"/>
    <x v="1"/>
    <x v="0"/>
    <x v="0"/>
    <x v="0"/>
    <x v="5"/>
    <x v="40"/>
    <x v="0"/>
    <x v="2"/>
    <x v="0"/>
    <n v="42250"/>
  </r>
  <r>
    <m/>
    <x v="0"/>
    <x v="1"/>
    <x v="0"/>
    <x v="0"/>
    <x v="0"/>
    <x v="5"/>
    <x v="41"/>
    <x v="0"/>
    <x v="2"/>
    <x v="0"/>
    <n v="42250"/>
  </r>
  <r>
    <m/>
    <x v="0"/>
    <x v="1"/>
    <x v="0"/>
    <x v="0"/>
    <x v="0"/>
    <x v="5"/>
    <x v="42"/>
    <x v="0"/>
    <x v="2"/>
    <x v="0"/>
    <n v="42250"/>
  </r>
  <r>
    <m/>
    <x v="0"/>
    <x v="1"/>
    <x v="0"/>
    <x v="0"/>
    <x v="0"/>
    <x v="5"/>
    <x v="43"/>
    <x v="0"/>
    <x v="2"/>
    <x v="0"/>
    <n v="42250"/>
  </r>
  <r>
    <m/>
    <x v="0"/>
    <x v="1"/>
    <x v="0"/>
    <x v="0"/>
    <x v="0"/>
    <x v="5"/>
    <x v="44"/>
    <x v="0"/>
    <x v="2"/>
    <x v="0"/>
    <n v="42250"/>
  </r>
  <r>
    <m/>
    <x v="0"/>
    <x v="1"/>
    <x v="0"/>
    <x v="0"/>
    <x v="0"/>
    <x v="5"/>
    <x v="45"/>
    <x v="0"/>
    <x v="2"/>
    <x v="0"/>
    <n v="42250"/>
  </r>
  <r>
    <m/>
    <x v="0"/>
    <x v="1"/>
    <x v="0"/>
    <x v="0"/>
    <x v="0"/>
    <x v="5"/>
    <x v="46"/>
    <x v="0"/>
    <x v="2"/>
    <x v="0"/>
    <n v="42250"/>
  </r>
  <r>
    <m/>
    <x v="0"/>
    <x v="1"/>
    <x v="0"/>
    <x v="0"/>
    <x v="0"/>
    <x v="5"/>
    <x v="4"/>
    <x v="0"/>
    <x v="2"/>
    <x v="0"/>
    <n v="42250"/>
  </r>
  <r>
    <m/>
    <x v="0"/>
    <x v="1"/>
    <x v="0"/>
    <x v="0"/>
    <x v="0"/>
    <x v="5"/>
    <x v="47"/>
    <x v="0"/>
    <x v="2"/>
    <x v="0"/>
    <n v="42250"/>
  </r>
  <r>
    <m/>
    <x v="0"/>
    <x v="1"/>
    <x v="0"/>
    <x v="0"/>
    <x v="0"/>
    <x v="5"/>
    <x v="48"/>
    <x v="0"/>
    <x v="2"/>
    <x v="0"/>
    <n v="42250"/>
  </r>
  <r>
    <m/>
    <x v="0"/>
    <x v="1"/>
    <x v="0"/>
    <x v="2"/>
    <x v="2"/>
    <x v="3"/>
    <x v="49"/>
    <x v="0"/>
    <x v="3"/>
    <x v="0"/>
    <n v="30900"/>
  </r>
  <r>
    <m/>
    <x v="0"/>
    <x v="1"/>
    <x v="0"/>
    <x v="1"/>
    <x v="1"/>
    <x v="1"/>
    <x v="54"/>
    <x v="0"/>
    <x v="3"/>
    <x v="0"/>
    <n v="22840"/>
  </r>
  <r>
    <m/>
    <x v="0"/>
    <x v="1"/>
    <x v="0"/>
    <x v="2"/>
    <x v="2"/>
    <x v="3"/>
    <x v="50"/>
    <x v="0"/>
    <x v="3"/>
    <x v="0"/>
    <n v="30900"/>
  </r>
  <r>
    <m/>
    <x v="0"/>
    <x v="1"/>
    <x v="1"/>
    <x v="1"/>
    <x v="3"/>
    <x v="2"/>
    <x v="55"/>
    <x v="1"/>
    <x v="2"/>
    <x v="0"/>
    <n v="28510"/>
  </r>
  <r>
    <m/>
    <x v="0"/>
    <x v="1"/>
    <x v="1"/>
    <x v="0"/>
    <x v="0"/>
    <x v="5"/>
    <x v="40"/>
    <x v="1"/>
    <x v="2"/>
    <x v="0"/>
    <n v="40400"/>
  </r>
  <r>
    <m/>
    <x v="0"/>
    <x v="1"/>
    <x v="0"/>
    <x v="1"/>
    <x v="1"/>
    <x v="1"/>
    <x v="3"/>
    <x v="0"/>
    <x v="3"/>
    <x v="0"/>
    <n v="23360"/>
  </r>
  <r>
    <m/>
    <x v="0"/>
    <x v="1"/>
    <x v="0"/>
    <x v="1"/>
    <x v="1"/>
    <x v="2"/>
    <x v="55"/>
    <x v="0"/>
    <x v="2"/>
    <x v="0"/>
    <n v="27600"/>
  </r>
  <r>
    <m/>
    <x v="0"/>
    <x v="1"/>
    <x v="0"/>
    <x v="1"/>
    <x v="1"/>
    <x v="2"/>
    <x v="5"/>
    <x v="0"/>
    <x v="2"/>
    <x v="0"/>
    <n v="27080"/>
  </r>
  <r>
    <m/>
    <x v="0"/>
    <x v="1"/>
    <x v="0"/>
    <x v="1"/>
    <x v="1"/>
    <x v="2"/>
    <x v="54"/>
    <x v="0"/>
    <x v="2"/>
    <x v="0"/>
    <n v="26040"/>
  </r>
  <r>
    <m/>
    <x v="0"/>
    <x v="1"/>
    <x v="0"/>
    <x v="1"/>
    <x v="1"/>
    <x v="2"/>
    <x v="3"/>
    <x v="0"/>
    <x v="2"/>
    <x v="0"/>
    <n v="26560"/>
  </r>
  <r>
    <m/>
    <x v="0"/>
    <x v="1"/>
    <x v="0"/>
    <x v="1"/>
    <x v="3"/>
    <x v="1"/>
    <x v="55"/>
    <x v="0"/>
    <x v="3"/>
    <x v="0"/>
    <n v="26090"/>
  </r>
  <r>
    <m/>
    <x v="0"/>
    <x v="1"/>
    <x v="0"/>
    <x v="1"/>
    <x v="3"/>
    <x v="1"/>
    <x v="5"/>
    <x v="0"/>
    <x v="3"/>
    <x v="0"/>
    <n v="25460"/>
  </r>
  <r>
    <m/>
    <x v="0"/>
    <x v="1"/>
    <x v="0"/>
    <x v="1"/>
    <x v="3"/>
    <x v="1"/>
    <x v="54"/>
    <x v="0"/>
    <x v="3"/>
    <x v="0"/>
    <n v="24200"/>
  </r>
  <r>
    <m/>
    <x v="0"/>
    <x v="1"/>
    <x v="0"/>
    <x v="1"/>
    <x v="3"/>
    <x v="1"/>
    <x v="3"/>
    <x v="0"/>
    <x v="3"/>
    <x v="0"/>
    <n v="24830"/>
  </r>
  <r>
    <m/>
    <x v="0"/>
    <x v="1"/>
    <x v="0"/>
    <x v="1"/>
    <x v="3"/>
    <x v="2"/>
    <x v="55"/>
    <x v="0"/>
    <x v="2"/>
    <x v="0"/>
    <n v="30300"/>
  </r>
  <r>
    <m/>
    <x v="0"/>
    <x v="1"/>
    <x v="0"/>
    <x v="1"/>
    <x v="3"/>
    <x v="2"/>
    <x v="5"/>
    <x v="0"/>
    <x v="2"/>
    <x v="0"/>
    <n v="29670"/>
  </r>
  <r>
    <m/>
    <x v="0"/>
    <x v="1"/>
    <x v="0"/>
    <x v="1"/>
    <x v="3"/>
    <x v="2"/>
    <x v="54"/>
    <x v="0"/>
    <x v="2"/>
    <x v="0"/>
    <n v="28410"/>
  </r>
  <r>
    <m/>
    <x v="0"/>
    <x v="1"/>
    <x v="0"/>
    <x v="2"/>
    <x v="2"/>
    <x v="3"/>
    <x v="51"/>
    <x v="0"/>
    <x v="3"/>
    <x v="0"/>
    <n v="30900"/>
  </r>
  <r>
    <m/>
    <x v="0"/>
    <x v="1"/>
    <x v="0"/>
    <x v="2"/>
    <x v="2"/>
    <x v="3"/>
    <x v="52"/>
    <x v="0"/>
    <x v="3"/>
    <x v="0"/>
    <n v="30900"/>
  </r>
  <r>
    <m/>
    <x v="0"/>
    <x v="1"/>
    <x v="0"/>
    <x v="2"/>
    <x v="2"/>
    <x v="3"/>
    <x v="53"/>
    <x v="0"/>
    <x v="3"/>
    <x v="0"/>
    <n v="30900"/>
  </r>
  <r>
    <m/>
    <x v="0"/>
    <x v="1"/>
    <x v="0"/>
    <x v="2"/>
    <x v="2"/>
    <x v="3"/>
    <x v="6"/>
    <x v="0"/>
    <x v="3"/>
    <x v="0"/>
    <n v="30900"/>
  </r>
  <r>
    <m/>
    <x v="0"/>
    <x v="1"/>
    <x v="0"/>
    <x v="2"/>
    <x v="2"/>
    <x v="3"/>
    <x v="37"/>
    <x v="0"/>
    <x v="3"/>
    <x v="0"/>
    <n v="30900"/>
  </r>
  <r>
    <m/>
    <x v="0"/>
    <x v="1"/>
    <x v="0"/>
    <x v="2"/>
    <x v="2"/>
    <x v="3"/>
    <x v="38"/>
    <x v="0"/>
    <x v="3"/>
    <x v="0"/>
    <n v="30900"/>
  </r>
  <r>
    <m/>
    <x v="0"/>
    <x v="1"/>
    <x v="0"/>
    <x v="2"/>
    <x v="2"/>
    <x v="3"/>
    <x v="39"/>
    <x v="0"/>
    <x v="3"/>
    <x v="0"/>
    <n v="30900"/>
  </r>
  <r>
    <m/>
    <x v="0"/>
    <x v="1"/>
    <x v="0"/>
    <x v="2"/>
    <x v="2"/>
    <x v="3"/>
    <x v="40"/>
    <x v="0"/>
    <x v="3"/>
    <x v="0"/>
    <n v="30900"/>
  </r>
  <r>
    <m/>
    <x v="0"/>
    <x v="1"/>
    <x v="0"/>
    <x v="2"/>
    <x v="2"/>
    <x v="3"/>
    <x v="41"/>
    <x v="0"/>
    <x v="3"/>
    <x v="0"/>
    <n v="30900"/>
  </r>
  <r>
    <m/>
    <x v="0"/>
    <x v="1"/>
    <x v="0"/>
    <x v="2"/>
    <x v="2"/>
    <x v="3"/>
    <x v="42"/>
    <x v="0"/>
    <x v="3"/>
    <x v="0"/>
    <n v="30900"/>
  </r>
  <r>
    <m/>
    <x v="0"/>
    <x v="1"/>
    <x v="0"/>
    <x v="2"/>
    <x v="2"/>
    <x v="3"/>
    <x v="43"/>
    <x v="0"/>
    <x v="3"/>
    <x v="0"/>
    <n v="30900"/>
  </r>
  <r>
    <m/>
    <x v="0"/>
    <x v="1"/>
    <x v="0"/>
    <x v="2"/>
    <x v="2"/>
    <x v="3"/>
    <x v="44"/>
    <x v="0"/>
    <x v="3"/>
    <x v="0"/>
    <n v="30900"/>
  </r>
  <r>
    <m/>
    <x v="0"/>
    <x v="1"/>
    <x v="0"/>
    <x v="2"/>
    <x v="2"/>
    <x v="3"/>
    <x v="45"/>
    <x v="0"/>
    <x v="3"/>
    <x v="0"/>
    <n v="30900"/>
  </r>
  <r>
    <m/>
    <x v="0"/>
    <x v="1"/>
    <x v="0"/>
    <x v="2"/>
    <x v="2"/>
    <x v="3"/>
    <x v="46"/>
    <x v="0"/>
    <x v="3"/>
    <x v="0"/>
    <n v="30900"/>
  </r>
  <r>
    <m/>
    <x v="0"/>
    <x v="1"/>
    <x v="1"/>
    <x v="1"/>
    <x v="3"/>
    <x v="2"/>
    <x v="5"/>
    <x v="1"/>
    <x v="2"/>
    <x v="0"/>
    <n v="27460"/>
  </r>
  <r>
    <m/>
    <x v="0"/>
    <x v="1"/>
    <x v="1"/>
    <x v="1"/>
    <x v="3"/>
    <x v="2"/>
    <x v="54"/>
    <x v="1"/>
    <x v="2"/>
    <x v="0"/>
    <n v="25360"/>
  </r>
  <r>
    <m/>
    <x v="0"/>
    <x v="1"/>
    <x v="1"/>
    <x v="1"/>
    <x v="3"/>
    <x v="2"/>
    <x v="3"/>
    <x v="1"/>
    <x v="2"/>
    <x v="0"/>
    <n v="26410"/>
  </r>
  <r>
    <m/>
    <x v="0"/>
    <x v="1"/>
    <x v="1"/>
    <x v="3"/>
    <x v="1"/>
    <x v="1"/>
    <x v="55"/>
    <x v="1"/>
    <x v="3"/>
    <x v="0"/>
    <n v="26080"/>
  </r>
  <r>
    <m/>
    <x v="0"/>
    <x v="1"/>
    <x v="1"/>
    <x v="3"/>
    <x v="1"/>
    <x v="1"/>
    <x v="5"/>
    <x v="1"/>
    <x v="3"/>
    <x v="0"/>
    <n v="25330"/>
  </r>
  <r>
    <m/>
    <x v="0"/>
    <x v="1"/>
    <x v="1"/>
    <x v="3"/>
    <x v="1"/>
    <x v="1"/>
    <x v="54"/>
    <x v="1"/>
    <x v="3"/>
    <x v="0"/>
    <n v="23830"/>
  </r>
  <r>
    <m/>
    <x v="0"/>
    <x v="1"/>
    <x v="1"/>
    <x v="3"/>
    <x v="1"/>
    <x v="1"/>
    <x v="3"/>
    <x v="1"/>
    <x v="3"/>
    <x v="0"/>
    <n v="24580"/>
  </r>
  <r>
    <m/>
    <x v="0"/>
    <x v="1"/>
    <x v="1"/>
    <x v="3"/>
    <x v="1"/>
    <x v="2"/>
    <x v="55"/>
    <x v="1"/>
    <x v="2"/>
    <x v="0"/>
    <n v="28950"/>
  </r>
  <r>
    <m/>
    <x v="0"/>
    <x v="1"/>
    <x v="1"/>
    <x v="3"/>
    <x v="1"/>
    <x v="2"/>
    <x v="5"/>
    <x v="1"/>
    <x v="2"/>
    <x v="0"/>
    <n v="28200"/>
  </r>
  <r>
    <m/>
    <x v="0"/>
    <x v="1"/>
    <x v="1"/>
    <x v="3"/>
    <x v="1"/>
    <x v="2"/>
    <x v="54"/>
    <x v="1"/>
    <x v="2"/>
    <x v="0"/>
    <n v="26700"/>
  </r>
  <r>
    <m/>
    <x v="0"/>
    <x v="1"/>
    <x v="1"/>
    <x v="3"/>
    <x v="1"/>
    <x v="2"/>
    <x v="3"/>
    <x v="1"/>
    <x v="2"/>
    <x v="0"/>
    <n v="27450"/>
  </r>
  <r>
    <m/>
    <x v="0"/>
    <x v="1"/>
    <x v="1"/>
    <x v="3"/>
    <x v="3"/>
    <x v="1"/>
    <x v="55"/>
    <x v="1"/>
    <x v="3"/>
    <x v="0"/>
    <n v="27700"/>
  </r>
  <r>
    <m/>
    <x v="0"/>
    <x v="1"/>
    <x v="1"/>
    <x v="0"/>
    <x v="0"/>
    <x v="5"/>
    <x v="41"/>
    <x v="1"/>
    <x v="2"/>
    <x v="0"/>
    <n v="40400"/>
  </r>
  <r>
    <m/>
    <x v="0"/>
    <x v="1"/>
    <x v="1"/>
    <x v="0"/>
    <x v="0"/>
    <x v="5"/>
    <x v="42"/>
    <x v="1"/>
    <x v="2"/>
    <x v="0"/>
    <n v="40400"/>
  </r>
  <r>
    <m/>
    <x v="0"/>
    <x v="1"/>
    <x v="1"/>
    <x v="0"/>
    <x v="0"/>
    <x v="5"/>
    <x v="43"/>
    <x v="1"/>
    <x v="2"/>
    <x v="0"/>
    <n v="40400"/>
  </r>
  <r>
    <m/>
    <x v="0"/>
    <x v="1"/>
    <x v="1"/>
    <x v="0"/>
    <x v="0"/>
    <x v="5"/>
    <x v="44"/>
    <x v="1"/>
    <x v="2"/>
    <x v="0"/>
    <n v="40400"/>
  </r>
  <r>
    <m/>
    <x v="0"/>
    <x v="1"/>
    <x v="1"/>
    <x v="0"/>
    <x v="0"/>
    <x v="5"/>
    <x v="45"/>
    <x v="1"/>
    <x v="2"/>
    <x v="0"/>
    <n v="40400"/>
  </r>
  <r>
    <m/>
    <x v="0"/>
    <x v="1"/>
    <x v="1"/>
    <x v="0"/>
    <x v="0"/>
    <x v="5"/>
    <x v="46"/>
    <x v="1"/>
    <x v="2"/>
    <x v="0"/>
    <n v="40400"/>
  </r>
  <r>
    <m/>
    <x v="0"/>
    <x v="1"/>
    <x v="1"/>
    <x v="0"/>
    <x v="0"/>
    <x v="5"/>
    <x v="4"/>
    <x v="1"/>
    <x v="2"/>
    <x v="0"/>
    <n v="40400"/>
  </r>
  <r>
    <m/>
    <x v="0"/>
    <x v="1"/>
    <x v="1"/>
    <x v="0"/>
    <x v="0"/>
    <x v="5"/>
    <x v="47"/>
    <x v="1"/>
    <x v="2"/>
    <x v="0"/>
    <n v="40400"/>
  </r>
  <r>
    <m/>
    <x v="0"/>
    <x v="1"/>
    <x v="1"/>
    <x v="0"/>
    <x v="0"/>
    <x v="5"/>
    <x v="48"/>
    <x v="1"/>
    <x v="2"/>
    <x v="0"/>
    <n v="40400"/>
  </r>
  <r>
    <m/>
    <x v="0"/>
    <x v="1"/>
    <x v="1"/>
    <x v="2"/>
    <x v="2"/>
    <x v="3"/>
    <x v="49"/>
    <x v="1"/>
    <x v="3"/>
    <x v="0"/>
    <n v="29550"/>
  </r>
  <r>
    <m/>
    <x v="0"/>
    <x v="1"/>
    <x v="1"/>
    <x v="2"/>
    <x v="2"/>
    <x v="3"/>
    <x v="50"/>
    <x v="1"/>
    <x v="3"/>
    <x v="0"/>
    <n v="29550"/>
  </r>
  <r>
    <m/>
    <x v="0"/>
    <x v="1"/>
    <x v="1"/>
    <x v="2"/>
    <x v="2"/>
    <x v="3"/>
    <x v="51"/>
    <x v="1"/>
    <x v="3"/>
    <x v="0"/>
    <n v="29550"/>
  </r>
  <r>
    <m/>
    <x v="0"/>
    <x v="1"/>
    <x v="1"/>
    <x v="2"/>
    <x v="2"/>
    <x v="3"/>
    <x v="52"/>
    <x v="1"/>
    <x v="3"/>
    <x v="0"/>
    <n v="29550"/>
  </r>
  <r>
    <m/>
    <x v="0"/>
    <x v="1"/>
    <x v="1"/>
    <x v="2"/>
    <x v="2"/>
    <x v="3"/>
    <x v="53"/>
    <x v="1"/>
    <x v="3"/>
    <x v="0"/>
    <n v="29550"/>
  </r>
  <r>
    <m/>
    <x v="0"/>
    <x v="0"/>
    <x v="0"/>
    <x v="1"/>
    <x v="3"/>
    <x v="1"/>
    <x v="73"/>
    <x v="0"/>
    <x v="1"/>
    <x v="0"/>
    <n v="25740"/>
  </r>
  <r>
    <m/>
    <x v="0"/>
    <x v="0"/>
    <x v="0"/>
    <x v="1"/>
    <x v="3"/>
    <x v="1"/>
    <x v="74"/>
    <x v="0"/>
    <x v="1"/>
    <x v="0"/>
    <n v="25160"/>
  </r>
  <r>
    <m/>
    <x v="0"/>
    <x v="0"/>
    <x v="0"/>
    <x v="1"/>
    <x v="3"/>
    <x v="1"/>
    <x v="1"/>
    <x v="0"/>
    <x v="1"/>
    <x v="0"/>
    <n v="25450"/>
  </r>
  <r>
    <m/>
    <x v="0"/>
    <x v="0"/>
    <x v="0"/>
    <x v="1"/>
    <x v="3"/>
    <x v="2"/>
    <x v="73"/>
    <x v="0"/>
    <x v="0"/>
    <x v="0"/>
    <n v="29950"/>
  </r>
  <r>
    <m/>
    <x v="0"/>
    <x v="0"/>
    <x v="0"/>
    <x v="1"/>
    <x v="3"/>
    <x v="2"/>
    <x v="74"/>
    <x v="0"/>
    <x v="0"/>
    <x v="0"/>
    <n v="29370"/>
  </r>
  <r>
    <m/>
    <x v="0"/>
    <x v="0"/>
    <x v="0"/>
    <x v="1"/>
    <x v="3"/>
    <x v="2"/>
    <x v="1"/>
    <x v="0"/>
    <x v="0"/>
    <x v="0"/>
    <n v="29660"/>
  </r>
  <r>
    <m/>
    <x v="0"/>
    <x v="0"/>
    <x v="0"/>
    <x v="0"/>
    <x v="2"/>
    <x v="6"/>
    <x v="0"/>
    <x v="0"/>
    <x v="1"/>
    <x v="0"/>
    <n v="20860"/>
  </r>
  <r>
    <m/>
    <x v="0"/>
    <x v="0"/>
    <x v="0"/>
    <x v="0"/>
    <x v="2"/>
    <x v="6"/>
    <x v="56"/>
    <x v="0"/>
    <x v="1"/>
    <x v="0"/>
    <n v="20860"/>
  </r>
  <r>
    <m/>
    <x v="0"/>
    <x v="0"/>
    <x v="0"/>
    <x v="0"/>
    <x v="2"/>
    <x v="6"/>
    <x v="57"/>
    <x v="0"/>
    <x v="1"/>
    <x v="0"/>
    <n v="20860"/>
  </r>
  <r>
    <m/>
    <x v="0"/>
    <x v="0"/>
    <x v="0"/>
    <x v="0"/>
    <x v="2"/>
    <x v="6"/>
    <x v="58"/>
    <x v="0"/>
    <x v="1"/>
    <x v="0"/>
    <n v="20860"/>
  </r>
  <r>
    <m/>
    <x v="0"/>
    <x v="0"/>
    <x v="0"/>
    <x v="0"/>
    <x v="2"/>
    <x v="6"/>
    <x v="59"/>
    <x v="0"/>
    <x v="1"/>
    <x v="0"/>
    <n v="20860"/>
  </r>
  <r>
    <m/>
    <x v="0"/>
    <x v="0"/>
    <x v="0"/>
    <x v="0"/>
    <x v="2"/>
    <x v="6"/>
    <x v="60"/>
    <x v="0"/>
    <x v="1"/>
    <x v="0"/>
    <n v="20860"/>
  </r>
  <r>
    <m/>
    <x v="0"/>
    <x v="0"/>
    <x v="0"/>
    <x v="0"/>
    <x v="2"/>
    <x v="6"/>
    <x v="61"/>
    <x v="0"/>
    <x v="1"/>
    <x v="0"/>
    <n v="20860"/>
  </r>
  <r>
    <m/>
    <x v="0"/>
    <x v="0"/>
    <x v="0"/>
    <x v="0"/>
    <x v="2"/>
    <x v="6"/>
    <x v="62"/>
    <x v="0"/>
    <x v="1"/>
    <x v="0"/>
    <n v="20860"/>
  </r>
  <r>
    <m/>
    <x v="0"/>
    <x v="0"/>
    <x v="0"/>
    <x v="0"/>
    <x v="0"/>
    <x v="6"/>
    <x v="57"/>
    <x v="0"/>
    <x v="0"/>
    <x v="0"/>
    <n v="23140"/>
  </r>
  <r>
    <m/>
    <x v="0"/>
    <x v="0"/>
    <x v="0"/>
    <x v="0"/>
    <x v="0"/>
    <x v="6"/>
    <x v="58"/>
    <x v="0"/>
    <x v="0"/>
    <x v="0"/>
    <n v="23140"/>
  </r>
  <r>
    <m/>
    <x v="0"/>
    <x v="0"/>
    <x v="0"/>
    <x v="0"/>
    <x v="0"/>
    <x v="6"/>
    <x v="59"/>
    <x v="0"/>
    <x v="0"/>
    <x v="0"/>
    <n v="23140"/>
  </r>
  <r>
    <m/>
    <x v="0"/>
    <x v="0"/>
    <x v="0"/>
    <x v="0"/>
    <x v="0"/>
    <x v="6"/>
    <x v="60"/>
    <x v="0"/>
    <x v="0"/>
    <x v="0"/>
    <n v="23140"/>
  </r>
  <r>
    <m/>
    <x v="0"/>
    <x v="0"/>
    <x v="0"/>
    <x v="0"/>
    <x v="0"/>
    <x v="6"/>
    <x v="61"/>
    <x v="0"/>
    <x v="0"/>
    <x v="0"/>
    <n v="23140"/>
  </r>
  <r>
    <m/>
    <x v="0"/>
    <x v="0"/>
    <x v="0"/>
    <x v="0"/>
    <x v="0"/>
    <x v="6"/>
    <x v="62"/>
    <x v="0"/>
    <x v="0"/>
    <x v="0"/>
    <n v="23140"/>
  </r>
  <r>
    <m/>
    <x v="0"/>
    <x v="0"/>
    <x v="0"/>
    <x v="0"/>
    <x v="0"/>
    <x v="6"/>
    <x v="63"/>
    <x v="0"/>
    <x v="0"/>
    <x v="0"/>
    <n v="23140"/>
  </r>
  <r>
    <m/>
    <x v="0"/>
    <x v="0"/>
    <x v="0"/>
    <x v="0"/>
    <x v="0"/>
    <x v="6"/>
    <x v="64"/>
    <x v="0"/>
    <x v="0"/>
    <x v="0"/>
    <n v="23140"/>
  </r>
  <r>
    <m/>
    <x v="0"/>
    <x v="0"/>
    <x v="0"/>
    <x v="0"/>
    <x v="0"/>
    <x v="6"/>
    <x v="65"/>
    <x v="0"/>
    <x v="0"/>
    <x v="0"/>
    <n v="23140"/>
  </r>
  <r>
    <m/>
    <x v="0"/>
    <x v="0"/>
    <x v="0"/>
    <x v="0"/>
    <x v="0"/>
    <x v="6"/>
    <x v="66"/>
    <x v="0"/>
    <x v="0"/>
    <x v="0"/>
    <n v="23140"/>
  </r>
  <r>
    <m/>
    <x v="0"/>
    <x v="0"/>
    <x v="0"/>
    <x v="0"/>
    <x v="0"/>
    <x v="6"/>
    <x v="67"/>
    <x v="0"/>
    <x v="0"/>
    <x v="0"/>
    <n v="23140"/>
  </r>
  <r>
    <m/>
    <x v="0"/>
    <x v="0"/>
    <x v="0"/>
    <x v="0"/>
    <x v="0"/>
    <x v="6"/>
    <x v="68"/>
    <x v="0"/>
    <x v="0"/>
    <x v="0"/>
    <n v="23140"/>
  </r>
  <r>
    <m/>
    <x v="0"/>
    <x v="0"/>
    <x v="0"/>
    <x v="0"/>
    <x v="0"/>
    <x v="6"/>
    <x v="69"/>
    <x v="0"/>
    <x v="0"/>
    <x v="0"/>
    <n v="23140"/>
  </r>
  <r>
    <m/>
    <x v="0"/>
    <x v="0"/>
    <x v="0"/>
    <x v="0"/>
    <x v="0"/>
    <x v="6"/>
    <x v="70"/>
    <x v="0"/>
    <x v="0"/>
    <x v="0"/>
    <n v="23140"/>
  </r>
  <r>
    <m/>
    <x v="0"/>
    <x v="0"/>
    <x v="0"/>
    <x v="0"/>
    <x v="0"/>
    <x v="6"/>
    <x v="2"/>
    <x v="0"/>
    <x v="0"/>
    <x v="0"/>
    <n v="23140"/>
  </r>
  <r>
    <m/>
    <x v="0"/>
    <x v="0"/>
    <x v="0"/>
    <x v="0"/>
    <x v="0"/>
    <x v="6"/>
    <x v="71"/>
    <x v="0"/>
    <x v="0"/>
    <x v="0"/>
    <n v="23140"/>
  </r>
  <r>
    <m/>
    <x v="0"/>
    <x v="0"/>
    <x v="0"/>
    <x v="0"/>
    <x v="0"/>
    <x v="6"/>
    <x v="72"/>
    <x v="0"/>
    <x v="0"/>
    <x v="0"/>
    <n v="23140"/>
  </r>
  <r>
    <m/>
    <x v="0"/>
    <x v="0"/>
    <x v="1"/>
    <x v="5"/>
    <x v="1"/>
    <x v="1"/>
    <x v="97"/>
    <x v="1"/>
    <x v="1"/>
    <x v="0"/>
    <n v="19290"/>
  </r>
  <r>
    <m/>
    <x v="0"/>
    <x v="0"/>
    <x v="1"/>
    <x v="5"/>
    <x v="1"/>
    <x v="1"/>
    <x v="98"/>
    <x v="1"/>
    <x v="1"/>
    <x v="0"/>
    <n v="20200"/>
  </r>
  <r>
    <m/>
    <x v="0"/>
    <x v="0"/>
    <x v="1"/>
    <x v="5"/>
    <x v="1"/>
    <x v="2"/>
    <x v="94"/>
    <x v="1"/>
    <x v="0"/>
    <x v="0"/>
    <n v="23540"/>
  </r>
  <r>
    <m/>
    <x v="0"/>
    <x v="0"/>
    <x v="1"/>
    <x v="5"/>
    <x v="1"/>
    <x v="2"/>
    <x v="97"/>
    <x v="1"/>
    <x v="0"/>
    <x v="0"/>
    <n v="21720"/>
  </r>
  <r>
    <m/>
    <x v="0"/>
    <x v="0"/>
    <x v="1"/>
    <x v="5"/>
    <x v="1"/>
    <x v="2"/>
    <x v="98"/>
    <x v="1"/>
    <x v="0"/>
    <x v="0"/>
    <n v="22630"/>
  </r>
  <r>
    <m/>
    <x v="0"/>
    <x v="0"/>
    <x v="1"/>
    <x v="5"/>
    <x v="3"/>
    <x v="1"/>
    <x v="94"/>
    <x v="1"/>
    <x v="1"/>
    <x v="0"/>
    <n v="22230"/>
  </r>
  <r>
    <m/>
    <x v="0"/>
    <x v="0"/>
    <x v="1"/>
    <x v="5"/>
    <x v="3"/>
    <x v="1"/>
    <x v="97"/>
    <x v="1"/>
    <x v="1"/>
    <x v="0"/>
    <n v="20430"/>
  </r>
  <r>
    <m/>
    <x v="0"/>
    <x v="0"/>
    <x v="1"/>
    <x v="5"/>
    <x v="3"/>
    <x v="1"/>
    <x v="98"/>
    <x v="1"/>
    <x v="1"/>
    <x v="0"/>
    <n v="21330"/>
  </r>
  <r>
    <m/>
    <x v="0"/>
    <x v="0"/>
    <x v="1"/>
    <x v="5"/>
    <x v="3"/>
    <x v="2"/>
    <x v="94"/>
    <x v="1"/>
    <x v="0"/>
    <x v="0"/>
    <n v="25500"/>
  </r>
  <r>
    <m/>
    <x v="0"/>
    <x v="0"/>
    <x v="1"/>
    <x v="5"/>
    <x v="3"/>
    <x v="2"/>
    <x v="97"/>
    <x v="1"/>
    <x v="0"/>
    <x v="0"/>
    <n v="23700"/>
  </r>
  <r>
    <m/>
    <x v="0"/>
    <x v="0"/>
    <x v="1"/>
    <x v="5"/>
    <x v="3"/>
    <x v="2"/>
    <x v="98"/>
    <x v="1"/>
    <x v="0"/>
    <x v="0"/>
    <n v="24600"/>
  </r>
  <r>
    <m/>
    <x v="0"/>
    <x v="0"/>
    <x v="1"/>
    <x v="1"/>
    <x v="1"/>
    <x v="1"/>
    <x v="73"/>
    <x v="1"/>
    <x v="1"/>
    <x v="0"/>
    <n v="23120"/>
  </r>
  <r>
    <m/>
    <x v="0"/>
    <x v="0"/>
    <x v="1"/>
    <x v="1"/>
    <x v="1"/>
    <x v="1"/>
    <x v="74"/>
    <x v="1"/>
    <x v="1"/>
    <x v="0"/>
    <n v="21180"/>
  </r>
  <r>
    <m/>
    <x v="0"/>
    <x v="0"/>
    <x v="1"/>
    <x v="2"/>
    <x v="2"/>
    <x v="6"/>
    <x v="71"/>
    <x v="1"/>
    <x v="1"/>
    <x v="0"/>
    <n v="21470"/>
  </r>
  <r>
    <m/>
    <x v="0"/>
    <x v="0"/>
    <x v="1"/>
    <x v="2"/>
    <x v="2"/>
    <x v="6"/>
    <x v="72"/>
    <x v="1"/>
    <x v="1"/>
    <x v="0"/>
    <n v="21470"/>
  </r>
  <r>
    <m/>
    <x v="0"/>
    <x v="0"/>
    <x v="1"/>
    <x v="2"/>
    <x v="2"/>
    <x v="0"/>
    <x v="0"/>
    <x v="1"/>
    <x v="1"/>
    <x v="0"/>
    <n v="24190"/>
  </r>
  <r>
    <m/>
    <x v="0"/>
    <x v="0"/>
    <x v="1"/>
    <x v="2"/>
    <x v="2"/>
    <x v="0"/>
    <x v="56"/>
    <x v="1"/>
    <x v="1"/>
    <x v="0"/>
    <n v="24190"/>
  </r>
  <r>
    <m/>
    <x v="0"/>
    <x v="0"/>
    <x v="1"/>
    <x v="2"/>
    <x v="2"/>
    <x v="0"/>
    <x v="57"/>
    <x v="1"/>
    <x v="1"/>
    <x v="0"/>
    <n v="24190"/>
  </r>
  <r>
    <m/>
    <x v="0"/>
    <x v="0"/>
    <x v="1"/>
    <x v="2"/>
    <x v="2"/>
    <x v="0"/>
    <x v="58"/>
    <x v="1"/>
    <x v="1"/>
    <x v="0"/>
    <n v="24190"/>
  </r>
  <r>
    <m/>
    <x v="0"/>
    <x v="0"/>
    <x v="1"/>
    <x v="2"/>
    <x v="2"/>
    <x v="0"/>
    <x v="59"/>
    <x v="1"/>
    <x v="1"/>
    <x v="0"/>
    <n v="24190"/>
  </r>
  <r>
    <m/>
    <x v="0"/>
    <x v="0"/>
    <x v="1"/>
    <x v="2"/>
    <x v="2"/>
    <x v="0"/>
    <x v="60"/>
    <x v="1"/>
    <x v="1"/>
    <x v="0"/>
    <n v="24190"/>
  </r>
  <r>
    <m/>
    <x v="0"/>
    <x v="0"/>
    <x v="1"/>
    <x v="2"/>
    <x v="2"/>
    <x v="0"/>
    <x v="61"/>
    <x v="1"/>
    <x v="1"/>
    <x v="0"/>
    <n v="24190"/>
  </r>
  <r>
    <m/>
    <x v="0"/>
    <x v="0"/>
    <x v="1"/>
    <x v="2"/>
    <x v="2"/>
    <x v="0"/>
    <x v="62"/>
    <x v="1"/>
    <x v="1"/>
    <x v="0"/>
    <n v="24190"/>
  </r>
  <r>
    <m/>
    <x v="0"/>
    <x v="0"/>
    <x v="1"/>
    <x v="2"/>
    <x v="2"/>
    <x v="0"/>
    <x v="63"/>
    <x v="1"/>
    <x v="1"/>
    <x v="0"/>
    <n v="24190"/>
  </r>
  <r>
    <m/>
    <x v="0"/>
    <x v="0"/>
    <x v="1"/>
    <x v="2"/>
    <x v="2"/>
    <x v="0"/>
    <x v="64"/>
    <x v="1"/>
    <x v="1"/>
    <x v="0"/>
    <n v="24190"/>
  </r>
  <r>
    <m/>
    <x v="0"/>
    <x v="0"/>
    <x v="1"/>
    <x v="2"/>
    <x v="2"/>
    <x v="0"/>
    <x v="65"/>
    <x v="1"/>
    <x v="1"/>
    <x v="0"/>
    <n v="24190"/>
  </r>
  <r>
    <m/>
    <x v="0"/>
    <x v="0"/>
    <x v="1"/>
    <x v="2"/>
    <x v="2"/>
    <x v="0"/>
    <x v="66"/>
    <x v="1"/>
    <x v="1"/>
    <x v="0"/>
    <n v="24190"/>
  </r>
  <r>
    <m/>
    <x v="0"/>
    <x v="0"/>
    <x v="1"/>
    <x v="2"/>
    <x v="2"/>
    <x v="0"/>
    <x v="67"/>
    <x v="1"/>
    <x v="1"/>
    <x v="0"/>
    <n v="24190"/>
  </r>
  <r>
    <m/>
    <x v="0"/>
    <x v="0"/>
    <x v="1"/>
    <x v="2"/>
    <x v="2"/>
    <x v="0"/>
    <x v="68"/>
    <x v="1"/>
    <x v="1"/>
    <x v="0"/>
    <n v="24190"/>
  </r>
  <r>
    <m/>
    <x v="0"/>
    <x v="0"/>
    <x v="1"/>
    <x v="2"/>
    <x v="2"/>
    <x v="0"/>
    <x v="69"/>
    <x v="1"/>
    <x v="1"/>
    <x v="0"/>
    <n v="24190"/>
  </r>
  <r>
    <m/>
    <x v="0"/>
    <x v="0"/>
    <x v="1"/>
    <x v="2"/>
    <x v="2"/>
    <x v="0"/>
    <x v="70"/>
    <x v="1"/>
    <x v="1"/>
    <x v="0"/>
    <n v="2419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">
  <r>
    <x v="0"/>
    <x v="0"/>
    <x v="0"/>
    <x v="0"/>
    <x v="0"/>
    <x v="0"/>
    <x v="0"/>
    <n v="5130"/>
  </r>
  <r>
    <x v="1"/>
    <x v="0"/>
    <x v="0"/>
    <x v="0"/>
    <x v="0"/>
    <x v="0"/>
    <x v="0"/>
    <n v="5130"/>
  </r>
  <r>
    <x v="2"/>
    <x v="0"/>
    <x v="0"/>
    <x v="0"/>
    <x v="0"/>
    <x v="0"/>
    <x v="0"/>
    <n v="5630"/>
  </r>
  <r>
    <x v="0"/>
    <x v="0"/>
    <x v="0"/>
    <x v="1"/>
    <x v="1"/>
    <x v="0"/>
    <x v="0"/>
    <n v="5600"/>
  </r>
  <r>
    <x v="1"/>
    <x v="0"/>
    <x v="0"/>
    <x v="1"/>
    <x v="1"/>
    <x v="0"/>
    <x v="0"/>
    <n v="5600"/>
  </r>
  <r>
    <x v="2"/>
    <x v="0"/>
    <x v="0"/>
    <x v="1"/>
    <x v="1"/>
    <x v="0"/>
    <x v="0"/>
    <n v="6160"/>
  </r>
  <r>
    <x v="0"/>
    <x v="0"/>
    <x v="0"/>
    <x v="2"/>
    <x v="2"/>
    <x v="0"/>
    <x v="0"/>
    <n v="5360"/>
  </r>
  <r>
    <x v="1"/>
    <x v="0"/>
    <x v="0"/>
    <x v="2"/>
    <x v="2"/>
    <x v="0"/>
    <x v="0"/>
    <n v="5360"/>
  </r>
  <r>
    <x v="0"/>
    <x v="0"/>
    <x v="0"/>
    <x v="2"/>
    <x v="2"/>
    <x v="0"/>
    <x v="0"/>
    <n v="4540"/>
  </r>
  <r>
    <x v="1"/>
    <x v="0"/>
    <x v="0"/>
    <x v="2"/>
    <x v="2"/>
    <x v="0"/>
    <x v="0"/>
    <n v="4540"/>
  </r>
  <r>
    <x v="2"/>
    <x v="0"/>
    <x v="0"/>
    <x v="2"/>
    <x v="2"/>
    <x v="0"/>
    <x v="0"/>
    <n v="5090"/>
  </r>
  <r>
    <x v="0"/>
    <x v="0"/>
    <x v="0"/>
    <x v="2"/>
    <x v="0"/>
    <x v="0"/>
    <x v="0"/>
    <n v="4650"/>
  </r>
  <r>
    <x v="1"/>
    <x v="0"/>
    <x v="0"/>
    <x v="2"/>
    <x v="0"/>
    <x v="0"/>
    <x v="0"/>
    <n v="4650"/>
  </r>
  <r>
    <x v="2"/>
    <x v="0"/>
    <x v="0"/>
    <x v="2"/>
    <x v="0"/>
    <x v="0"/>
    <x v="0"/>
    <n v="5210"/>
  </r>
  <r>
    <x v="0"/>
    <x v="0"/>
    <x v="0"/>
    <x v="0"/>
    <x v="2"/>
    <x v="0"/>
    <x v="0"/>
    <n v="4040"/>
  </r>
  <r>
    <x v="1"/>
    <x v="0"/>
    <x v="0"/>
    <x v="0"/>
    <x v="2"/>
    <x v="0"/>
    <x v="0"/>
    <n v="4040"/>
  </r>
  <r>
    <x v="2"/>
    <x v="0"/>
    <x v="0"/>
    <x v="0"/>
    <x v="2"/>
    <x v="0"/>
    <x v="0"/>
    <n v="4530"/>
  </r>
  <r>
    <x v="0"/>
    <x v="0"/>
    <x v="0"/>
    <x v="0"/>
    <x v="0"/>
    <x v="0"/>
    <x v="0"/>
    <n v="4140"/>
  </r>
  <r>
    <x v="1"/>
    <x v="0"/>
    <x v="0"/>
    <x v="0"/>
    <x v="0"/>
    <x v="0"/>
    <x v="0"/>
    <n v="4140"/>
  </r>
  <r>
    <x v="2"/>
    <x v="0"/>
    <x v="0"/>
    <x v="0"/>
    <x v="0"/>
    <x v="0"/>
    <x v="0"/>
    <n v="4640"/>
  </r>
  <r>
    <x v="2"/>
    <x v="0"/>
    <x v="0"/>
    <x v="2"/>
    <x v="2"/>
    <x v="0"/>
    <x v="0"/>
    <n v="5910"/>
  </r>
  <r>
    <x v="0"/>
    <x v="0"/>
    <x v="0"/>
    <x v="2"/>
    <x v="0"/>
    <x v="0"/>
    <x v="0"/>
    <n v="5640"/>
  </r>
  <r>
    <x v="1"/>
    <x v="0"/>
    <x v="0"/>
    <x v="2"/>
    <x v="0"/>
    <x v="0"/>
    <x v="0"/>
    <n v="5640"/>
  </r>
  <r>
    <x v="2"/>
    <x v="0"/>
    <x v="0"/>
    <x v="2"/>
    <x v="0"/>
    <x v="0"/>
    <x v="0"/>
    <n v="6200"/>
  </r>
  <r>
    <x v="0"/>
    <x v="0"/>
    <x v="0"/>
    <x v="0"/>
    <x v="2"/>
    <x v="0"/>
    <x v="0"/>
    <n v="4860"/>
  </r>
  <r>
    <x v="1"/>
    <x v="0"/>
    <x v="0"/>
    <x v="0"/>
    <x v="2"/>
    <x v="0"/>
    <x v="0"/>
    <n v="4860"/>
  </r>
  <r>
    <x v="2"/>
    <x v="1"/>
    <x v="1"/>
    <x v="0"/>
    <x v="3"/>
    <x v="1"/>
    <x v="0"/>
    <n v="3110"/>
  </r>
  <r>
    <x v="0"/>
    <x v="1"/>
    <x v="1"/>
    <x v="0"/>
    <x v="3"/>
    <x v="1"/>
    <x v="0"/>
    <n v="2780"/>
  </r>
  <r>
    <x v="0"/>
    <x v="0"/>
    <x v="0"/>
    <x v="2"/>
    <x v="2"/>
    <x v="0"/>
    <x v="0"/>
    <n v="5360"/>
  </r>
  <r>
    <x v="1"/>
    <x v="0"/>
    <x v="0"/>
    <x v="2"/>
    <x v="2"/>
    <x v="0"/>
    <x v="0"/>
    <n v="5360"/>
  </r>
  <r>
    <x v="1"/>
    <x v="1"/>
    <x v="1"/>
    <x v="0"/>
    <x v="3"/>
    <x v="1"/>
    <x v="0"/>
    <n v="2780"/>
  </r>
  <r>
    <x v="2"/>
    <x v="1"/>
    <x v="1"/>
    <x v="2"/>
    <x v="3"/>
    <x v="1"/>
    <x v="0"/>
    <n v="3840"/>
  </r>
  <r>
    <x v="0"/>
    <x v="1"/>
    <x v="1"/>
    <x v="2"/>
    <x v="3"/>
    <x v="1"/>
    <x v="0"/>
    <n v="3430"/>
  </r>
  <r>
    <x v="1"/>
    <x v="1"/>
    <x v="1"/>
    <x v="2"/>
    <x v="3"/>
    <x v="1"/>
    <x v="0"/>
    <n v="3430"/>
  </r>
  <r>
    <x v="2"/>
    <x v="1"/>
    <x v="2"/>
    <x v="0"/>
    <x v="3"/>
    <x v="1"/>
    <x v="0"/>
    <n v="3110"/>
  </r>
  <r>
    <x v="0"/>
    <x v="1"/>
    <x v="2"/>
    <x v="0"/>
    <x v="3"/>
    <x v="1"/>
    <x v="0"/>
    <n v="2780"/>
  </r>
  <r>
    <x v="1"/>
    <x v="1"/>
    <x v="2"/>
    <x v="0"/>
    <x v="3"/>
    <x v="1"/>
    <x v="0"/>
    <n v="2780"/>
  </r>
  <r>
    <x v="0"/>
    <x v="1"/>
    <x v="2"/>
    <x v="2"/>
    <x v="3"/>
    <x v="1"/>
    <x v="0"/>
    <n v="3430"/>
  </r>
  <r>
    <x v="1"/>
    <x v="1"/>
    <x v="2"/>
    <x v="2"/>
    <x v="3"/>
    <x v="1"/>
    <x v="0"/>
    <n v="3430"/>
  </r>
  <r>
    <x v="2"/>
    <x v="1"/>
    <x v="2"/>
    <x v="2"/>
    <x v="3"/>
    <x v="1"/>
    <x v="0"/>
    <n v="3840"/>
  </r>
  <r>
    <x v="2"/>
    <x v="1"/>
    <x v="3"/>
    <x v="0"/>
    <x v="3"/>
    <x v="1"/>
    <x v="0"/>
    <n v="3110"/>
  </r>
  <r>
    <x v="0"/>
    <x v="1"/>
    <x v="3"/>
    <x v="0"/>
    <x v="3"/>
    <x v="1"/>
    <x v="0"/>
    <n v="2780"/>
  </r>
  <r>
    <x v="1"/>
    <x v="1"/>
    <x v="3"/>
    <x v="0"/>
    <x v="3"/>
    <x v="1"/>
    <x v="0"/>
    <n v="2780"/>
  </r>
  <r>
    <x v="2"/>
    <x v="2"/>
    <x v="3"/>
    <x v="2"/>
    <x v="3"/>
    <x v="1"/>
    <x v="0"/>
    <n v="2920"/>
  </r>
  <r>
    <x v="0"/>
    <x v="2"/>
    <x v="3"/>
    <x v="2"/>
    <x v="3"/>
    <x v="1"/>
    <x v="0"/>
    <n v="2600"/>
  </r>
  <r>
    <x v="1"/>
    <x v="2"/>
    <x v="3"/>
    <x v="2"/>
    <x v="3"/>
    <x v="1"/>
    <x v="0"/>
    <n v="2600"/>
  </r>
  <r>
    <x v="2"/>
    <x v="1"/>
    <x v="4"/>
    <x v="0"/>
    <x v="3"/>
    <x v="1"/>
    <x v="0"/>
    <n v="3110"/>
  </r>
  <r>
    <x v="0"/>
    <x v="1"/>
    <x v="4"/>
    <x v="0"/>
    <x v="3"/>
    <x v="1"/>
    <x v="0"/>
    <n v="2780"/>
  </r>
  <r>
    <x v="1"/>
    <x v="1"/>
    <x v="4"/>
    <x v="0"/>
    <x v="3"/>
    <x v="1"/>
    <x v="0"/>
    <n v="2780"/>
  </r>
  <r>
    <x v="2"/>
    <x v="1"/>
    <x v="4"/>
    <x v="2"/>
    <x v="3"/>
    <x v="1"/>
    <x v="0"/>
    <n v="3840"/>
  </r>
  <r>
    <x v="0"/>
    <x v="1"/>
    <x v="4"/>
    <x v="2"/>
    <x v="3"/>
    <x v="1"/>
    <x v="0"/>
    <n v="3430"/>
  </r>
  <r>
    <x v="1"/>
    <x v="1"/>
    <x v="4"/>
    <x v="2"/>
    <x v="3"/>
    <x v="1"/>
    <x v="0"/>
    <n v="3430"/>
  </r>
  <r>
    <x v="1"/>
    <x v="3"/>
    <x v="5"/>
    <x v="3"/>
    <x v="4"/>
    <x v="2"/>
    <x v="0"/>
    <n v="1450"/>
  </r>
  <r>
    <x v="0"/>
    <x v="3"/>
    <x v="6"/>
    <x v="2"/>
    <x v="2"/>
    <x v="0"/>
    <x v="0"/>
    <n v="4600"/>
  </r>
  <r>
    <x v="2"/>
    <x v="3"/>
    <x v="6"/>
    <x v="2"/>
    <x v="2"/>
    <x v="0"/>
    <x v="0"/>
    <n v="5160"/>
  </r>
  <r>
    <x v="1"/>
    <x v="3"/>
    <x v="6"/>
    <x v="2"/>
    <x v="2"/>
    <x v="0"/>
    <x v="0"/>
    <n v="4600"/>
  </r>
  <r>
    <x v="2"/>
    <x v="3"/>
    <x v="6"/>
    <x v="2"/>
    <x v="0"/>
    <x v="0"/>
    <x v="0"/>
    <n v="5320"/>
  </r>
  <r>
    <x v="1"/>
    <x v="3"/>
    <x v="6"/>
    <x v="2"/>
    <x v="0"/>
    <x v="0"/>
    <x v="0"/>
    <n v="4750"/>
  </r>
  <r>
    <x v="0"/>
    <x v="3"/>
    <x v="6"/>
    <x v="2"/>
    <x v="0"/>
    <x v="0"/>
    <x v="0"/>
    <n v="4750"/>
  </r>
  <r>
    <x v="0"/>
    <x v="4"/>
    <x v="4"/>
    <x v="4"/>
    <x v="4"/>
    <x v="2"/>
    <x v="0"/>
    <n v="1720"/>
  </r>
  <r>
    <x v="2"/>
    <x v="4"/>
    <x v="4"/>
    <x v="4"/>
    <x v="4"/>
    <x v="2"/>
    <x v="0"/>
    <n v="1920"/>
  </r>
  <r>
    <x v="0"/>
    <x v="4"/>
    <x v="7"/>
    <x v="4"/>
    <x v="4"/>
    <x v="2"/>
    <x v="0"/>
    <n v="1720"/>
  </r>
  <r>
    <x v="2"/>
    <x v="4"/>
    <x v="7"/>
    <x v="4"/>
    <x v="4"/>
    <x v="2"/>
    <x v="0"/>
    <n v="1920"/>
  </r>
  <r>
    <x v="0"/>
    <x v="4"/>
    <x v="8"/>
    <x v="4"/>
    <x v="4"/>
    <x v="2"/>
    <x v="0"/>
    <n v="1720"/>
  </r>
  <r>
    <x v="2"/>
    <x v="4"/>
    <x v="8"/>
    <x v="4"/>
    <x v="4"/>
    <x v="2"/>
    <x v="0"/>
    <n v="1920"/>
  </r>
  <r>
    <x v="0"/>
    <x v="3"/>
    <x v="2"/>
    <x v="0"/>
    <x v="4"/>
    <x v="1"/>
    <x v="0"/>
    <n v="2820"/>
  </r>
  <r>
    <x v="2"/>
    <x v="3"/>
    <x v="2"/>
    <x v="0"/>
    <x v="4"/>
    <x v="1"/>
    <x v="0"/>
    <n v="3160"/>
  </r>
  <r>
    <x v="1"/>
    <x v="3"/>
    <x v="2"/>
    <x v="0"/>
    <x v="4"/>
    <x v="1"/>
    <x v="0"/>
    <n v="2820"/>
  </r>
  <r>
    <x v="0"/>
    <x v="4"/>
    <x v="4"/>
    <x v="5"/>
    <x v="4"/>
    <x v="1"/>
    <x v="0"/>
    <n v="5240"/>
  </r>
  <r>
    <x v="0"/>
    <x v="4"/>
    <x v="7"/>
    <x v="5"/>
    <x v="4"/>
    <x v="1"/>
    <x v="0"/>
    <n v="5240"/>
  </r>
  <r>
    <x v="2"/>
    <x v="4"/>
    <x v="7"/>
    <x v="5"/>
    <x v="4"/>
    <x v="1"/>
    <x v="0"/>
    <n v="5880"/>
  </r>
  <r>
    <x v="0"/>
    <x v="4"/>
    <x v="8"/>
    <x v="5"/>
    <x v="4"/>
    <x v="1"/>
    <x v="0"/>
    <n v="5240"/>
  </r>
  <r>
    <x v="2"/>
    <x v="4"/>
    <x v="8"/>
    <x v="5"/>
    <x v="4"/>
    <x v="1"/>
    <x v="0"/>
    <n v="5880"/>
  </r>
  <r>
    <x v="0"/>
    <x v="3"/>
    <x v="3"/>
    <x v="0"/>
    <x v="4"/>
    <x v="1"/>
    <x v="0"/>
    <n v="2820"/>
  </r>
  <r>
    <x v="2"/>
    <x v="3"/>
    <x v="3"/>
    <x v="0"/>
    <x v="4"/>
    <x v="1"/>
    <x v="0"/>
    <n v="3160"/>
  </r>
  <r>
    <x v="1"/>
    <x v="3"/>
    <x v="3"/>
    <x v="0"/>
    <x v="4"/>
    <x v="1"/>
    <x v="0"/>
    <n v="2820"/>
  </r>
  <r>
    <x v="0"/>
    <x v="3"/>
    <x v="4"/>
    <x v="0"/>
    <x v="4"/>
    <x v="1"/>
    <x v="0"/>
    <n v="2820"/>
  </r>
  <r>
    <x v="2"/>
    <x v="3"/>
    <x v="4"/>
    <x v="0"/>
    <x v="4"/>
    <x v="1"/>
    <x v="0"/>
    <n v="3160"/>
  </r>
  <r>
    <x v="1"/>
    <x v="3"/>
    <x v="4"/>
    <x v="0"/>
    <x v="4"/>
    <x v="1"/>
    <x v="0"/>
    <n v="2820"/>
  </r>
  <r>
    <x v="0"/>
    <x v="3"/>
    <x v="1"/>
    <x v="0"/>
    <x v="4"/>
    <x v="1"/>
    <x v="0"/>
    <n v="2820"/>
  </r>
  <r>
    <x v="1"/>
    <x v="3"/>
    <x v="1"/>
    <x v="0"/>
    <x v="4"/>
    <x v="1"/>
    <x v="0"/>
    <n v="2820"/>
  </r>
  <r>
    <x v="0"/>
    <x v="1"/>
    <x v="8"/>
    <x v="2"/>
    <x v="3"/>
    <x v="1"/>
    <x v="0"/>
    <n v="3430"/>
  </r>
  <r>
    <x v="2"/>
    <x v="1"/>
    <x v="8"/>
    <x v="2"/>
    <x v="3"/>
    <x v="1"/>
    <x v="0"/>
    <n v="3840"/>
  </r>
  <r>
    <x v="1"/>
    <x v="1"/>
    <x v="8"/>
    <x v="2"/>
    <x v="3"/>
    <x v="1"/>
    <x v="0"/>
    <n v="3430"/>
  </r>
  <r>
    <x v="2"/>
    <x v="0"/>
    <x v="0"/>
    <x v="2"/>
    <x v="2"/>
    <x v="0"/>
    <x v="0"/>
    <n v="5910"/>
  </r>
  <r>
    <x v="0"/>
    <x v="0"/>
    <x v="0"/>
    <x v="2"/>
    <x v="0"/>
    <x v="0"/>
    <x v="0"/>
    <n v="5640"/>
  </r>
  <r>
    <x v="1"/>
    <x v="0"/>
    <x v="0"/>
    <x v="2"/>
    <x v="0"/>
    <x v="0"/>
    <x v="0"/>
    <n v="5640"/>
  </r>
  <r>
    <x v="2"/>
    <x v="0"/>
    <x v="0"/>
    <x v="2"/>
    <x v="0"/>
    <x v="0"/>
    <x v="0"/>
    <n v="6200"/>
  </r>
  <r>
    <x v="0"/>
    <x v="0"/>
    <x v="0"/>
    <x v="0"/>
    <x v="2"/>
    <x v="0"/>
    <x v="0"/>
    <n v="4860"/>
  </r>
  <r>
    <x v="1"/>
    <x v="0"/>
    <x v="0"/>
    <x v="0"/>
    <x v="2"/>
    <x v="0"/>
    <x v="0"/>
    <n v="4860"/>
  </r>
  <r>
    <x v="0"/>
    <x v="0"/>
    <x v="0"/>
    <x v="2"/>
    <x v="2"/>
    <x v="0"/>
    <x v="0"/>
    <n v="5360"/>
  </r>
  <r>
    <x v="2"/>
    <x v="0"/>
    <x v="0"/>
    <x v="2"/>
    <x v="2"/>
    <x v="0"/>
    <x v="0"/>
    <n v="5910"/>
  </r>
  <r>
    <x v="0"/>
    <x v="0"/>
    <x v="0"/>
    <x v="2"/>
    <x v="0"/>
    <x v="0"/>
    <x v="0"/>
    <n v="5640"/>
  </r>
  <r>
    <x v="1"/>
    <x v="0"/>
    <x v="0"/>
    <x v="2"/>
    <x v="0"/>
    <x v="0"/>
    <x v="0"/>
    <n v="5640"/>
  </r>
  <r>
    <x v="2"/>
    <x v="0"/>
    <x v="0"/>
    <x v="2"/>
    <x v="0"/>
    <x v="0"/>
    <x v="0"/>
    <n v="6200"/>
  </r>
  <r>
    <x v="2"/>
    <x v="4"/>
    <x v="4"/>
    <x v="5"/>
    <x v="4"/>
    <x v="1"/>
    <x v="0"/>
    <n v="5880"/>
  </r>
  <r>
    <x v="0"/>
    <x v="0"/>
    <x v="0"/>
    <x v="1"/>
    <x v="1"/>
    <x v="0"/>
    <x v="0"/>
    <n v="4620"/>
  </r>
  <r>
    <x v="1"/>
    <x v="0"/>
    <x v="0"/>
    <x v="1"/>
    <x v="1"/>
    <x v="0"/>
    <x v="0"/>
    <n v="4620"/>
  </r>
  <r>
    <x v="2"/>
    <x v="0"/>
    <x v="0"/>
    <x v="1"/>
    <x v="1"/>
    <x v="0"/>
    <x v="0"/>
    <n v="5170"/>
  </r>
  <r>
    <x v="0"/>
    <x v="0"/>
    <x v="0"/>
    <x v="0"/>
    <x v="2"/>
    <x v="0"/>
    <x v="0"/>
    <n v="4860"/>
  </r>
  <r>
    <x v="1"/>
    <x v="0"/>
    <x v="0"/>
    <x v="0"/>
    <x v="2"/>
    <x v="0"/>
    <x v="0"/>
    <n v="4860"/>
  </r>
  <r>
    <x v="2"/>
    <x v="0"/>
    <x v="0"/>
    <x v="0"/>
    <x v="2"/>
    <x v="0"/>
    <x v="0"/>
    <n v="5350"/>
  </r>
  <r>
    <x v="2"/>
    <x v="0"/>
    <x v="0"/>
    <x v="0"/>
    <x v="2"/>
    <x v="0"/>
    <x v="0"/>
    <n v="5350"/>
  </r>
  <r>
    <x v="0"/>
    <x v="0"/>
    <x v="0"/>
    <x v="0"/>
    <x v="0"/>
    <x v="0"/>
    <x v="0"/>
    <n v="5130"/>
  </r>
  <r>
    <x v="1"/>
    <x v="0"/>
    <x v="0"/>
    <x v="0"/>
    <x v="0"/>
    <x v="0"/>
    <x v="0"/>
    <n v="5130"/>
  </r>
  <r>
    <x v="2"/>
    <x v="0"/>
    <x v="0"/>
    <x v="0"/>
    <x v="0"/>
    <x v="0"/>
    <x v="0"/>
    <n v="5630"/>
  </r>
  <r>
    <x v="0"/>
    <x v="0"/>
    <x v="0"/>
    <x v="1"/>
    <x v="1"/>
    <x v="0"/>
    <x v="0"/>
    <n v="5600"/>
  </r>
  <r>
    <x v="1"/>
    <x v="0"/>
    <x v="0"/>
    <x v="1"/>
    <x v="1"/>
    <x v="0"/>
    <x v="0"/>
    <n v="5600"/>
  </r>
  <r>
    <x v="2"/>
    <x v="0"/>
    <x v="0"/>
    <x v="1"/>
    <x v="1"/>
    <x v="0"/>
    <x v="0"/>
    <n v="6160"/>
  </r>
  <r>
    <x v="2"/>
    <x v="0"/>
    <x v="0"/>
    <x v="0"/>
    <x v="2"/>
    <x v="0"/>
    <x v="0"/>
    <n v="5350"/>
  </r>
  <r>
    <x v="0"/>
    <x v="0"/>
    <x v="0"/>
    <x v="0"/>
    <x v="0"/>
    <x v="0"/>
    <x v="0"/>
    <n v="5130"/>
  </r>
  <r>
    <x v="1"/>
    <x v="0"/>
    <x v="0"/>
    <x v="0"/>
    <x v="0"/>
    <x v="0"/>
    <x v="0"/>
    <n v="5130"/>
  </r>
  <r>
    <x v="2"/>
    <x v="0"/>
    <x v="0"/>
    <x v="0"/>
    <x v="0"/>
    <x v="0"/>
    <x v="0"/>
    <n v="5630"/>
  </r>
  <r>
    <x v="0"/>
    <x v="0"/>
    <x v="0"/>
    <x v="1"/>
    <x v="1"/>
    <x v="0"/>
    <x v="0"/>
    <n v="5600"/>
  </r>
  <r>
    <x v="1"/>
    <x v="0"/>
    <x v="0"/>
    <x v="1"/>
    <x v="1"/>
    <x v="0"/>
    <x v="0"/>
    <n v="5600"/>
  </r>
  <r>
    <x v="2"/>
    <x v="0"/>
    <x v="0"/>
    <x v="1"/>
    <x v="1"/>
    <x v="0"/>
    <x v="0"/>
    <n v="6160"/>
  </r>
  <r>
    <x v="1"/>
    <x v="0"/>
    <x v="0"/>
    <x v="2"/>
    <x v="2"/>
    <x v="0"/>
    <x v="0"/>
    <n v="5360"/>
  </r>
  <r>
    <x v="1"/>
    <x v="3"/>
    <x v="9"/>
    <x v="6"/>
    <x v="5"/>
    <x v="2"/>
    <x v="0"/>
    <n v="145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x v="0"/>
    <x v="0"/>
    <x v="0"/>
    <x v="0"/>
    <x v="0"/>
    <x v="0"/>
    <x v="0"/>
    <x v="0"/>
    <x v="0"/>
    <x v="0"/>
    <x v="0"/>
  </r>
  <r>
    <x v="0"/>
    <x v="1"/>
    <x v="0"/>
    <x v="1"/>
    <x v="0"/>
    <x v="0"/>
    <x v="0"/>
    <x v="0"/>
    <x v="0"/>
    <x v="0"/>
    <x v="1"/>
    <x v="0"/>
  </r>
  <r>
    <x v="1"/>
    <x v="0"/>
    <x v="1"/>
    <x v="0"/>
    <x v="0"/>
    <x v="0"/>
    <x v="1"/>
    <x v="1"/>
    <x v="0"/>
    <x v="0"/>
    <x v="2"/>
    <x v="0"/>
  </r>
  <r>
    <x v="1"/>
    <x v="1"/>
    <x v="1"/>
    <x v="1"/>
    <x v="0"/>
    <x v="0"/>
    <x v="1"/>
    <x v="1"/>
    <x v="0"/>
    <x v="0"/>
    <x v="3"/>
    <x v="0"/>
  </r>
  <r>
    <x v="2"/>
    <x v="0"/>
    <x v="2"/>
    <x v="0"/>
    <x v="0"/>
    <x v="0"/>
    <x v="2"/>
    <x v="2"/>
    <x v="0"/>
    <x v="0"/>
    <x v="4"/>
    <x v="0"/>
  </r>
  <r>
    <x v="3"/>
    <x v="0"/>
    <x v="3"/>
    <x v="0"/>
    <x v="0"/>
    <x v="0"/>
    <x v="2"/>
    <x v="2"/>
    <x v="0"/>
    <x v="0"/>
    <x v="5"/>
    <x v="1"/>
  </r>
  <r>
    <x v="3"/>
    <x v="1"/>
    <x v="3"/>
    <x v="1"/>
    <x v="0"/>
    <x v="0"/>
    <x v="2"/>
    <x v="2"/>
    <x v="0"/>
    <x v="0"/>
    <x v="6"/>
    <x v="1"/>
  </r>
  <r>
    <x v="4"/>
    <x v="0"/>
    <x v="4"/>
    <x v="0"/>
    <x v="0"/>
    <x v="0"/>
    <x v="2"/>
    <x v="0"/>
    <x v="0"/>
    <x v="0"/>
    <x v="7"/>
    <x v="1"/>
  </r>
  <r>
    <x v="4"/>
    <x v="1"/>
    <x v="4"/>
    <x v="1"/>
    <x v="0"/>
    <x v="0"/>
    <x v="2"/>
    <x v="0"/>
    <x v="0"/>
    <x v="0"/>
    <x v="8"/>
    <x v="1"/>
  </r>
  <r>
    <x v="5"/>
    <x v="0"/>
    <x v="5"/>
    <x v="0"/>
    <x v="0"/>
    <x v="0"/>
    <x v="0"/>
    <x v="2"/>
    <x v="0"/>
    <x v="0"/>
    <x v="9"/>
    <x v="1"/>
  </r>
  <r>
    <x v="5"/>
    <x v="1"/>
    <x v="5"/>
    <x v="1"/>
    <x v="0"/>
    <x v="0"/>
    <x v="0"/>
    <x v="2"/>
    <x v="0"/>
    <x v="0"/>
    <x v="10"/>
    <x v="1"/>
  </r>
  <r>
    <x v="6"/>
    <x v="0"/>
    <x v="6"/>
    <x v="0"/>
    <x v="0"/>
    <x v="0"/>
    <x v="0"/>
    <x v="0"/>
    <x v="0"/>
    <x v="0"/>
    <x v="11"/>
    <x v="1"/>
  </r>
  <r>
    <x v="6"/>
    <x v="1"/>
    <x v="6"/>
    <x v="1"/>
    <x v="0"/>
    <x v="0"/>
    <x v="0"/>
    <x v="0"/>
    <x v="0"/>
    <x v="0"/>
    <x v="12"/>
    <x v="1"/>
  </r>
  <r>
    <x v="2"/>
    <x v="1"/>
    <x v="2"/>
    <x v="1"/>
    <x v="0"/>
    <x v="0"/>
    <x v="2"/>
    <x v="2"/>
    <x v="0"/>
    <x v="0"/>
    <x v="13"/>
    <x v="0"/>
  </r>
  <r>
    <x v="7"/>
    <x v="0"/>
    <x v="7"/>
    <x v="0"/>
    <x v="0"/>
    <x v="0"/>
    <x v="2"/>
    <x v="0"/>
    <x v="0"/>
    <x v="0"/>
    <x v="14"/>
    <x v="0"/>
  </r>
  <r>
    <x v="7"/>
    <x v="1"/>
    <x v="7"/>
    <x v="1"/>
    <x v="0"/>
    <x v="0"/>
    <x v="2"/>
    <x v="0"/>
    <x v="0"/>
    <x v="0"/>
    <x v="15"/>
    <x v="0"/>
  </r>
  <r>
    <x v="8"/>
    <x v="0"/>
    <x v="8"/>
    <x v="0"/>
    <x v="0"/>
    <x v="0"/>
    <x v="1"/>
    <x v="1"/>
    <x v="0"/>
    <x v="0"/>
    <x v="16"/>
    <x v="1"/>
  </r>
  <r>
    <x v="8"/>
    <x v="1"/>
    <x v="8"/>
    <x v="1"/>
    <x v="0"/>
    <x v="0"/>
    <x v="1"/>
    <x v="1"/>
    <x v="0"/>
    <x v="0"/>
    <x v="17"/>
    <x v="1"/>
  </r>
  <r>
    <x v="9"/>
    <x v="0"/>
    <x v="9"/>
    <x v="0"/>
    <x v="0"/>
    <x v="0"/>
    <x v="0"/>
    <x v="2"/>
    <x v="0"/>
    <x v="0"/>
    <x v="18"/>
    <x v="0"/>
  </r>
  <r>
    <x v="9"/>
    <x v="1"/>
    <x v="9"/>
    <x v="1"/>
    <x v="0"/>
    <x v="0"/>
    <x v="0"/>
    <x v="2"/>
    <x v="0"/>
    <x v="0"/>
    <x v="19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">
  <r>
    <n v="9638"/>
    <x v="0"/>
    <x v="0"/>
    <x v="0"/>
    <x v="0"/>
    <x v="0"/>
    <x v="0"/>
    <x v="0"/>
    <x v="0"/>
    <x v="0"/>
    <x v="0"/>
    <x v="0"/>
    <x v="0"/>
    <x v="0"/>
    <n v="18150"/>
  </r>
  <r>
    <n v="10529"/>
    <x v="1"/>
    <x v="0"/>
    <x v="1"/>
    <x v="0"/>
    <x v="0"/>
    <x v="1"/>
    <x v="0"/>
    <x v="0"/>
    <x v="0"/>
    <x v="1"/>
    <x v="1"/>
    <x v="0"/>
    <x v="0"/>
    <n v="5980"/>
  </r>
  <r>
    <n v="10531"/>
    <x v="1"/>
    <x v="1"/>
    <x v="1"/>
    <x v="1"/>
    <x v="0"/>
    <x v="1"/>
    <x v="0"/>
    <x v="0"/>
    <x v="0"/>
    <x v="1"/>
    <x v="1"/>
    <x v="0"/>
    <x v="0"/>
    <n v="5340"/>
  </r>
  <r>
    <n v="9641"/>
    <x v="2"/>
    <x v="1"/>
    <x v="2"/>
    <x v="1"/>
    <x v="0"/>
    <x v="2"/>
    <x v="1"/>
    <x v="0"/>
    <x v="0"/>
    <x v="0"/>
    <x v="0"/>
    <x v="0"/>
    <x v="0"/>
    <n v="29310"/>
  </r>
  <r>
    <n v="9643"/>
    <x v="2"/>
    <x v="0"/>
    <x v="2"/>
    <x v="0"/>
    <x v="0"/>
    <x v="2"/>
    <x v="1"/>
    <x v="0"/>
    <x v="0"/>
    <x v="0"/>
    <x v="0"/>
    <x v="0"/>
    <x v="0"/>
    <n v="32830"/>
  </r>
  <r>
    <n v="9648"/>
    <x v="3"/>
    <x v="0"/>
    <x v="3"/>
    <x v="0"/>
    <x v="0"/>
    <x v="1"/>
    <x v="0"/>
    <x v="0"/>
    <x v="0"/>
    <x v="1"/>
    <x v="2"/>
    <x v="0"/>
    <x v="0"/>
    <n v="4510"/>
  </r>
  <r>
    <n v="9650"/>
    <x v="3"/>
    <x v="1"/>
    <x v="3"/>
    <x v="1"/>
    <x v="0"/>
    <x v="1"/>
    <x v="0"/>
    <x v="0"/>
    <x v="0"/>
    <x v="1"/>
    <x v="2"/>
    <x v="0"/>
    <x v="0"/>
    <n v="4030"/>
  </r>
  <r>
    <n v="8799"/>
    <x v="4"/>
    <x v="2"/>
    <x v="4"/>
    <x v="0"/>
    <x v="0"/>
    <x v="3"/>
    <x v="0"/>
    <x v="0"/>
    <x v="0"/>
    <x v="1"/>
    <x v="1"/>
    <x v="0"/>
    <x v="0"/>
    <n v="2640"/>
  </r>
  <r>
    <n v="8801"/>
    <x v="4"/>
    <x v="1"/>
    <x v="4"/>
    <x v="1"/>
    <x v="0"/>
    <x v="3"/>
    <x v="0"/>
    <x v="0"/>
    <x v="0"/>
    <x v="1"/>
    <x v="1"/>
    <x v="0"/>
    <x v="0"/>
    <n v="2300"/>
  </r>
  <r>
    <n v="8752"/>
    <x v="5"/>
    <x v="1"/>
    <x v="5"/>
    <x v="1"/>
    <x v="0"/>
    <x v="3"/>
    <x v="2"/>
    <x v="0"/>
    <x v="0"/>
    <x v="2"/>
    <x v="0"/>
    <x v="0"/>
    <x v="0"/>
    <n v="1200"/>
  </r>
  <r>
    <n v="8756"/>
    <x v="5"/>
    <x v="3"/>
    <x v="5"/>
    <x v="0"/>
    <x v="0"/>
    <x v="3"/>
    <x v="2"/>
    <x v="0"/>
    <x v="0"/>
    <x v="2"/>
    <x v="0"/>
    <x v="0"/>
    <x v="0"/>
    <n v="1370"/>
  </r>
  <r>
    <n v="8758"/>
    <x v="6"/>
    <x v="1"/>
    <x v="6"/>
    <x v="1"/>
    <x v="0"/>
    <x v="4"/>
    <x v="3"/>
    <x v="0"/>
    <x v="0"/>
    <x v="2"/>
    <x v="0"/>
    <x v="0"/>
    <x v="0"/>
    <n v="1880"/>
  </r>
  <r>
    <n v="8760"/>
    <x v="6"/>
    <x v="3"/>
    <x v="6"/>
    <x v="0"/>
    <x v="0"/>
    <x v="4"/>
    <x v="3"/>
    <x v="0"/>
    <x v="0"/>
    <x v="2"/>
    <x v="0"/>
    <x v="0"/>
    <x v="0"/>
    <n v="2050"/>
  </r>
  <r>
    <n v="8762"/>
    <x v="7"/>
    <x v="1"/>
    <x v="7"/>
    <x v="1"/>
    <x v="0"/>
    <x v="3"/>
    <x v="2"/>
    <x v="0"/>
    <x v="0"/>
    <x v="1"/>
    <x v="2"/>
    <x v="0"/>
    <x v="0"/>
    <n v="2300"/>
  </r>
  <r>
    <n v="8765"/>
    <x v="7"/>
    <x v="3"/>
    <x v="7"/>
    <x v="0"/>
    <x v="0"/>
    <x v="3"/>
    <x v="2"/>
    <x v="0"/>
    <x v="0"/>
    <x v="1"/>
    <x v="2"/>
    <x v="0"/>
    <x v="0"/>
    <n v="2640"/>
  </r>
  <r>
    <n v="8767"/>
    <x v="8"/>
    <x v="1"/>
    <x v="8"/>
    <x v="1"/>
    <x v="0"/>
    <x v="4"/>
    <x v="2"/>
    <x v="0"/>
    <x v="0"/>
    <x v="1"/>
    <x v="2"/>
    <x v="0"/>
    <x v="0"/>
    <n v="3030"/>
  </r>
  <r>
    <n v="8770"/>
    <x v="8"/>
    <x v="3"/>
    <x v="8"/>
    <x v="0"/>
    <x v="0"/>
    <x v="4"/>
    <x v="2"/>
    <x v="0"/>
    <x v="0"/>
    <x v="1"/>
    <x v="2"/>
    <x v="0"/>
    <x v="0"/>
    <n v="3400"/>
  </r>
  <r>
    <n v="8773"/>
    <x v="9"/>
    <x v="1"/>
    <x v="9"/>
    <x v="1"/>
    <x v="0"/>
    <x v="3"/>
    <x v="4"/>
    <x v="0"/>
    <x v="0"/>
    <x v="3"/>
    <x v="0"/>
    <x v="0"/>
    <x v="0"/>
    <n v="4590"/>
  </r>
  <r>
    <n v="8775"/>
    <x v="9"/>
    <x v="0"/>
    <x v="9"/>
    <x v="0"/>
    <x v="0"/>
    <x v="3"/>
    <x v="4"/>
    <x v="0"/>
    <x v="0"/>
    <x v="3"/>
    <x v="0"/>
    <x v="0"/>
    <x v="0"/>
    <n v="5180"/>
  </r>
  <r>
    <n v="8777"/>
    <x v="10"/>
    <x v="1"/>
    <x v="10"/>
    <x v="1"/>
    <x v="0"/>
    <x v="4"/>
    <x v="4"/>
    <x v="0"/>
    <x v="0"/>
    <x v="3"/>
    <x v="0"/>
    <x v="0"/>
    <x v="0"/>
    <n v="5860"/>
  </r>
  <r>
    <n v="8780"/>
    <x v="10"/>
    <x v="0"/>
    <x v="10"/>
    <x v="0"/>
    <x v="0"/>
    <x v="4"/>
    <x v="4"/>
    <x v="0"/>
    <x v="0"/>
    <x v="3"/>
    <x v="0"/>
    <x v="0"/>
    <x v="0"/>
    <n v="6560"/>
  </r>
  <r>
    <n v="8415"/>
    <x v="11"/>
    <x v="1"/>
    <x v="11"/>
    <x v="1"/>
    <x v="0"/>
    <x v="5"/>
    <x v="2"/>
    <x v="0"/>
    <x v="0"/>
    <x v="1"/>
    <x v="2"/>
    <x v="0"/>
    <x v="0"/>
    <n v="2550"/>
  </r>
  <r>
    <n v="8417"/>
    <x v="11"/>
    <x v="2"/>
    <x v="11"/>
    <x v="0"/>
    <x v="0"/>
    <x v="5"/>
    <x v="2"/>
    <x v="0"/>
    <x v="0"/>
    <x v="1"/>
    <x v="2"/>
    <x v="0"/>
    <x v="0"/>
    <n v="2860"/>
  </r>
  <r>
    <n v="8420"/>
    <x v="12"/>
    <x v="1"/>
    <x v="12"/>
    <x v="1"/>
    <x v="0"/>
    <x v="5"/>
    <x v="2"/>
    <x v="0"/>
    <x v="0"/>
    <x v="1"/>
    <x v="1"/>
    <x v="0"/>
    <x v="0"/>
    <n v="2550"/>
  </r>
  <r>
    <n v="8422"/>
    <x v="12"/>
    <x v="2"/>
    <x v="12"/>
    <x v="0"/>
    <x v="0"/>
    <x v="5"/>
    <x v="2"/>
    <x v="0"/>
    <x v="0"/>
    <x v="1"/>
    <x v="1"/>
    <x v="0"/>
    <x v="0"/>
    <n v="2860"/>
  </r>
  <r>
    <n v="8094"/>
    <x v="13"/>
    <x v="1"/>
    <x v="13"/>
    <x v="1"/>
    <x v="0"/>
    <x v="5"/>
    <x v="4"/>
    <x v="0"/>
    <x v="0"/>
    <x v="3"/>
    <x v="0"/>
    <x v="0"/>
    <x v="0"/>
    <n v="5180"/>
  </r>
  <r>
    <n v="8096"/>
    <x v="13"/>
    <x v="4"/>
    <x v="13"/>
    <x v="0"/>
    <x v="0"/>
    <x v="5"/>
    <x v="4"/>
    <x v="0"/>
    <x v="0"/>
    <x v="3"/>
    <x v="0"/>
    <x v="0"/>
    <x v="0"/>
    <n v="5810"/>
  </r>
  <r>
    <n v="8104"/>
    <x v="14"/>
    <x v="1"/>
    <x v="14"/>
    <x v="1"/>
    <x v="0"/>
    <x v="5"/>
    <x v="2"/>
    <x v="0"/>
    <x v="0"/>
    <x v="2"/>
    <x v="0"/>
    <x v="0"/>
    <x v="0"/>
    <n v="1530"/>
  </r>
  <r>
    <n v="8106"/>
    <x v="14"/>
    <x v="3"/>
    <x v="14"/>
    <x v="0"/>
    <x v="0"/>
    <x v="5"/>
    <x v="2"/>
    <x v="0"/>
    <x v="0"/>
    <x v="2"/>
    <x v="0"/>
    <x v="0"/>
    <x v="0"/>
    <n v="1720"/>
  </r>
  <r>
    <n v="9363"/>
    <x v="15"/>
    <x v="2"/>
    <x v="15"/>
    <x v="0"/>
    <x v="0"/>
    <x v="6"/>
    <x v="5"/>
    <x v="0"/>
    <x v="1"/>
    <x v="3"/>
    <x v="0"/>
    <x v="0"/>
    <x v="0"/>
    <n v="6920"/>
  </r>
  <r>
    <n v="9366"/>
    <x v="15"/>
    <x v="1"/>
    <x v="15"/>
    <x v="1"/>
    <x v="0"/>
    <x v="6"/>
    <x v="5"/>
    <x v="0"/>
    <x v="1"/>
    <x v="3"/>
    <x v="0"/>
    <x v="0"/>
    <x v="0"/>
    <n v="6180"/>
  </r>
  <r>
    <n v="9653"/>
    <x v="16"/>
    <x v="0"/>
    <x v="16"/>
    <x v="0"/>
    <x v="0"/>
    <x v="1"/>
    <x v="0"/>
    <x v="0"/>
    <x v="0"/>
    <x v="3"/>
    <x v="0"/>
    <x v="0"/>
    <x v="0"/>
    <n v="8560"/>
  </r>
  <r>
    <n v="9655"/>
    <x v="16"/>
    <x v="1"/>
    <x v="16"/>
    <x v="1"/>
    <x v="0"/>
    <x v="1"/>
    <x v="0"/>
    <x v="0"/>
    <x v="0"/>
    <x v="3"/>
    <x v="0"/>
    <x v="0"/>
    <x v="0"/>
    <n v="7650"/>
  </r>
  <r>
    <n v="9656"/>
    <x v="0"/>
    <x v="1"/>
    <x v="0"/>
    <x v="1"/>
    <x v="0"/>
    <x v="0"/>
    <x v="0"/>
    <x v="0"/>
    <x v="0"/>
    <x v="0"/>
    <x v="0"/>
    <x v="0"/>
    <x v="0"/>
    <n v="16200"/>
  </r>
  <r>
    <n v="9742"/>
    <x v="17"/>
    <x v="1"/>
    <x v="17"/>
    <x v="1"/>
    <x v="0"/>
    <x v="7"/>
    <x v="5"/>
    <x v="0"/>
    <x v="1"/>
    <x v="3"/>
    <x v="0"/>
    <x v="0"/>
    <x v="0"/>
    <n v="5020"/>
  </r>
  <r>
    <n v="9744"/>
    <x v="17"/>
    <x v="0"/>
    <x v="17"/>
    <x v="0"/>
    <x v="0"/>
    <x v="7"/>
    <x v="5"/>
    <x v="0"/>
    <x v="1"/>
    <x v="3"/>
    <x v="0"/>
    <x v="0"/>
    <x v="0"/>
    <n v="5630"/>
  </r>
  <r>
    <n v="9748"/>
    <x v="18"/>
    <x v="1"/>
    <x v="18"/>
    <x v="1"/>
    <x v="0"/>
    <x v="3"/>
    <x v="0"/>
    <x v="1"/>
    <x v="0"/>
    <x v="1"/>
    <x v="0"/>
    <x v="0"/>
    <x v="0"/>
    <n v="2070"/>
  </r>
  <r>
    <n v="9750"/>
    <x v="18"/>
    <x v="2"/>
    <x v="18"/>
    <x v="0"/>
    <x v="0"/>
    <x v="3"/>
    <x v="0"/>
    <x v="1"/>
    <x v="0"/>
    <x v="1"/>
    <x v="0"/>
    <x v="0"/>
    <x v="0"/>
    <n v="2310"/>
  </r>
  <r>
    <n v="10522"/>
    <x v="19"/>
    <x v="1"/>
    <x v="19"/>
    <x v="1"/>
    <x v="0"/>
    <x v="4"/>
    <x v="0"/>
    <x v="0"/>
    <x v="0"/>
    <x v="1"/>
    <x v="1"/>
    <x v="0"/>
    <x v="0"/>
    <n v="3660"/>
  </r>
  <r>
    <n v="10524"/>
    <x v="19"/>
    <x v="2"/>
    <x v="19"/>
    <x v="0"/>
    <x v="0"/>
    <x v="4"/>
    <x v="0"/>
    <x v="0"/>
    <x v="0"/>
    <x v="1"/>
    <x v="1"/>
    <x v="0"/>
    <x v="0"/>
    <n v="4100"/>
  </r>
  <r>
    <n v="9370"/>
    <x v="20"/>
    <x v="0"/>
    <x v="20"/>
    <x v="0"/>
    <x v="0"/>
    <x v="8"/>
    <x v="6"/>
    <x v="0"/>
    <x v="1"/>
    <x v="3"/>
    <x v="0"/>
    <x v="0"/>
    <x v="0"/>
    <n v="12930"/>
  </r>
  <r>
    <n v="9372"/>
    <x v="20"/>
    <x v="1"/>
    <x v="20"/>
    <x v="1"/>
    <x v="0"/>
    <x v="8"/>
    <x v="6"/>
    <x v="0"/>
    <x v="1"/>
    <x v="3"/>
    <x v="0"/>
    <x v="0"/>
    <x v="0"/>
    <n v="115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F36427-F175-44DF-96A8-15F02189FDF5}" name="Сводная таблица4" cacheId="124" applyNumberFormats="0" applyBorderFormats="0" applyFontFormats="0" applyPatternFormats="0" applyAlignmentFormats="0" applyWidthHeightFormats="1" dataCaption="Значения" updatedVersion="7" minRefreshableVersion="3" useAutoFormatting="1" rowGrandTotals="0" colGrandTotals="0" itemPrintTitles="1" createdVersion="7" indent="0" compact="0" compactData="0" multipleFieldFilters="0" fieldListSortAscending="1">
  <location ref="AN2:AT9" firstHeaderRow="1" firstDataRow="2" firstDataCol="5"/>
  <pivotFields count="13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3">
        <item m="1" x="9"/>
        <item m="1" x="22"/>
        <item m="1" x="13"/>
        <item m="1" x="10"/>
        <item m="1" x="6"/>
        <item m="1" x="20"/>
        <item m="1" x="14"/>
        <item m="1" x="8"/>
        <item m="1" x="18"/>
        <item m="1" x="16"/>
        <item x="5"/>
        <item m="1" x="11"/>
        <item m="1" x="12"/>
        <item m="1" x="7"/>
        <item m="1" x="15"/>
        <item m="1" x="21"/>
        <item m="1" x="19"/>
        <item m="1" x="17"/>
        <item x="0"/>
        <item x="2"/>
        <item x="3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7">
        <item x="0"/>
        <item x="1"/>
        <item h="1" m="1" x="6"/>
        <item h="1" m="1" x="4"/>
        <item h="1" m="1" x="3"/>
        <item h="1" m="1" x="5"/>
        <item h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6"/>
        <item m="1" x="8"/>
        <item m="1" x="9"/>
        <item m="1" x="5"/>
        <item m="1" x="7"/>
        <item m="1" x="4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5"/>
        <item m="1" x="7"/>
        <item m="1" x="3"/>
        <item m="1" x="4"/>
        <item m="1" x="6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6"/>
        <item m="1" x="8"/>
        <item m="1" x="9"/>
        <item m="1" x="7"/>
        <item x="2"/>
        <item x="1"/>
        <item x="0"/>
        <item x="4"/>
        <item x="5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m="1" x="4"/>
        <item m="1" x="6"/>
        <item m="1" x="3"/>
        <item x="0"/>
        <item x="1"/>
        <item m="1" x="5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9"/>
    <field x="3"/>
    <field x="6"/>
    <field x="8"/>
    <field x="7"/>
  </rowFields>
  <rowItems count="6">
    <i>
      <x v="4"/>
      <x v="18"/>
      <x v="7"/>
      <x v="6"/>
      <x v="7"/>
    </i>
    <i r="1">
      <x v="19"/>
      <x v="7"/>
      <x v="5"/>
      <x v="7"/>
    </i>
    <i r="1">
      <x v="20"/>
      <x v="6"/>
      <x v="4"/>
      <x v="7"/>
    </i>
    <i r="1">
      <x v="21"/>
      <x v="6"/>
      <x v="5"/>
      <x v="7"/>
    </i>
    <i>
      <x v="5"/>
      <x v="22"/>
      <x v="8"/>
      <x v="7"/>
      <x v="5"/>
    </i>
    <i>
      <x v="7"/>
      <x v="10"/>
      <x v="9"/>
      <x v="8"/>
      <x v="6"/>
    </i>
  </rowItems>
  <colFields count="1">
    <field x="4"/>
  </colFields>
  <colItems count="2">
    <i>
      <x/>
    </i>
    <i>
      <x v="1"/>
    </i>
  </colItems>
  <dataFields count="1">
    <dataField name="Сумма по полю Значение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84EC5D-9708-4A65-AACF-496EDFD23A09}" name="Сводная таблица4" cacheId="126" applyNumberFormats="0" applyBorderFormats="0" applyFontFormats="0" applyPatternFormats="0" applyAlignmentFormats="0" applyWidthHeightFormats="1" dataCaption="Значения" updatedVersion="7" minRefreshableVersion="3" useAutoFormatting="1" rowGrandTotals="0" colGrandTotals="0" itemPrintTitles="1" createdVersion="7" indent="0" compact="0" compactData="0" multipleFieldFilters="0" fieldListSortAscending="1">
  <location ref="AH3:AN6" firstHeaderRow="1" firstDataRow="3" firstDataCol="5" rowPageCount="1" colPageCount="1"/>
  <pivotFields count="12">
    <pivotField compact="0" outline="0" subtotalTop="0" showAll="0" defaultSubtotal="0"/>
    <pivotField axis="axisRow" compact="0" outline="0" showAll="0" defaultSubtotal="0">
      <items count="2">
        <item x="0"/>
        <item m="1" x="1"/>
      </items>
    </pivotField>
    <pivotField axis="axisRow" compact="0" outline="0" showAll="0" defaultSubtotal="0">
      <items count="4">
        <item m="1" x="2"/>
        <item m="1" x="3"/>
        <item x="0"/>
        <item x="1"/>
      </items>
    </pivotField>
    <pivotField compact="0" outline="0" subtotalTop="0" showAll="0" defaultSubtotal="0"/>
    <pivotField axis="axisRow" compact="0" outline="0" showAll="0" defaultSubtotal="0">
      <items count="8">
        <item x="4"/>
        <item x="6"/>
        <item x="5"/>
        <item x="1"/>
        <item x="3"/>
        <item x="2"/>
        <item x="7"/>
        <item x="0"/>
      </items>
    </pivotField>
    <pivotField axis="axisRow" compact="0" outline="0" showAll="0" defaultSubtotal="0">
      <items count="5">
        <item x="1"/>
        <item x="3"/>
        <item x="4"/>
        <item x="2"/>
        <item x="0"/>
      </items>
    </pivotField>
    <pivotField axis="axisCol" compact="0" outline="0" subtotalTop="0" showAll="0" defaultSubtotal="0">
      <items count="8">
        <item x="1"/>
        <item x="2"/>
        <item x="7"/>
        <item x="0"/>
        <item x="6"/>
        <item x="3"/>
        <item x="4"/>
        <item x="5"/>
      </items>
    </pivotField>
    <pivotField axis="axisRow" compact="0" outline="0" subtotalTop="0" showAll="0" defaultSubtotal="0">
      <items count="120">
        <item h="1" m="1" x="117"/>
        <item h="1" m="1" x="114"/>
        <item h="1" m="1" x="116"/>
        <item h="1" m="1" x="119"/>
        <item h="1" m="1" x="118"/>
        <item h="1" x="112"/>
        <item h="1" x="35"/>
        <item h="1" x="34"/>
        <item h="1" x="113"/>
        <item h="1" x="93"/>
        <item h="1" x="36"/>
        <item h="1" x="92"/>
        <item h="1" x="31"/>
        <item h="1" x="32"/>
        <item h="1" x="7"/>
        <item h="1" x="87"/>
        <item h="1" x="33"/>
        <item h="1" x="28"/>
        <item h="1" x="8"/>
        <item h="1" x="90"/>
        <item h="1" x="30"/>
        <item h="1" x="96"/>
        <item h="1" x="29"/>
        <item h="1" x="27"/>
        <item h="1" x="26"/>
        <item h="1" x="89"/>
        <item h="1" x="23"/>
        <item h="1" x="24"/>
        <item h="1" x="9"/>
        <item h="1" x="91"/>
        <item h="1" x="25"/>
        <item x="75"/>
        <item h="1" x="10"/>
        <item h="1" x="111"/>
        <item h="1" x="11"/>
        <item h="1" x="103"/>
        <item h="1" x="20"/>
        <item h="1" x="12"/>
        <item h="1" x="108"/>
        <item h="1" x="21"/>
        <item h="1" x="13"/>
        <item h="1" x="110"/>
        <item h="1" x="95"/>
        <item h="1" x="22"/>
        <item h="1" x="109"/>
        <item h="1" x="104"/>
        <item h="1" x="86"/>
        <item h="1" x="19"/>
        <item h="1" x="14"/>
        <item h="1" x="106"/>
        <item h="1" x="88"/>
        <item h="1" x="15"/>
        <item h="1" x="107"/>
        <item h="1" x="85"/>
        <item h="1" x="16"/>
        <item h="1" x="105"/>
        <item h="1" x="84"/>
        <item h="1" x="18"/>
        <item h="1" x="17"/>
        <item h="1" m="1" x="115"/>
        <item h="1" x="77"/>
        <item h="1" x="82"/>
        <item h="1" x="83"/>
        <item h="1" x="81"/>
        <item h="1" x="78"/>
        <item h="1" x="76"/>
        <item h="1" x="80"/>
        <item h="1" x="79"/>
        <item h="1" x="73"/>
        <item h="1" x="55"/>
        <item h="1" x="5"/>
        <item h="1" x="54"/>
        <item h="1" x="3"/>
        <item h="1" x="74"/>
        <item h="1" x="1"/>
        <item h="1" x="94"/>
        <item h="1" x="97"/>
        <item h="1" x="98"/>
        <item h="1" x="57"/>
        <item h="1" x="2"/>
        <item h="1" x="70"/>
        <item h="1" x="56"/>
        <item h="1" x="4"/>
        <item h="1" x="48"/>
        <item h="1" x="49"/>
        <item h="1" x="50"/>
        <item h="1" x="51"/>
        <item h="1" x="52"/>
        <item h="1" x="53"/>
        <item h="1" x="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71"/>
        <item h="1" x="72"/>
        <item h="1" x="0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102"/>
        <item h="1" x="99"/>
        <item h="1" x="100"/>
        <item h="1" x="101"/>
      </items>
    </pivotField>
    <pivotField axis="axisCol" compact="0" outline="0" subtotalTop="0" showAll="0" defaultSubtotal="0">
      <items count="2">
        <item x="0"/>
        <item x="1"/>
      </items>
    </pivotField>
    <pivotField axis="axisPage" compact="0" outline="0" subtotalTop="0" showAll="0" defaultSubtotal="0">
      <items count="11">
        <item x="5"/>
        <item x="7"/>
        <item x="4"/>
        <item x="6"/>
        <item x="8"/>
        <item x="9"/>
        <item x="1"/>
        <item x="3"/>
        <item x="2"/>
        <item x="0"/>
        <item x="10"/>
      </items>
    </pivotField>
    <pivotField compact="0" outline="0" subtotalTop="0" showAll="0" defaultSubtotal="0"/>
    <pivotField dataField="1" compact="0" outline="0" subtotalTop="0" showAll="0" defaultSubtotal="0"/>
  </pivotFields>
  <rowFields count="5">
    <field x="1"/>
    <field x="7"/>
    <field x="4"/>
    <field x="2"/>
    <field x="5"/>
  </rowFields>
  <rowItems count="1">
    <i>
      <x/>
      <x v="31"/>
      <x v="6"/>
      <x v="2"/>
      <x v="2"/>
    </i>
  </rowItems>
  <colFields count="2">
    <field x="8"/>
    <field x="6"/>
  </colFields>
  <colItems count="1">
    <i>
      <x v="1"/>
      <x/>
    </i>
  </colItems>
  <pageFields count="1">
    <pageField fld="9" item="4" hier="-1"/>
  </pageFields>
  <dataFields count="1">
    <dataField name="Сумма по полю Значение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58DB8C-762E-4C8C-8C51-BDCE7F98921B}" name="Сводная таблица7" cacheId="128" applyNumberFormats="0" applyBorderFormats="0" applyFontFormats="0" applyPatternFormats="0" applyAlignmentFormats="0" applyWidthHeightFormats="1" dataCaption="Значения" updatedVersion="7" minRefreshableVersion="3" useAutoFormatting="1" rowGrandTotals="0" colGrandTotals="0" itemPrintTitles="1" createdVersion="7" indent="0" compact="0" compactData="0" multipleFieldFilters="0" fieldListSortAscending="1">
  <location ref="Y3:AE14" firstHeaderRow="1" firstDataRow="2" firstDataCol="5"/>
  <pivotFields count="1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5"/>
        <item x="9"/>
        <item x="6"/>
        <item x="0"/>
        <item x="8"/>
        <item x="1"/>
        <item x="3"/>
        <item x="2"/>
        <item x="4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2"/>
    <field x="7"/>
    <field x="5"/>
    <field x="6"/>
    <field x="11"/>
  </rowFields>
  <rowItems count="10">
    <i>
      <x/>
      <x/>
      <x/>
      <x/>
      <x/>
    </i>
    <i>
      <x v="1"/>
      <x/>
      <x/>
      <x/>
      <x v="1"/>
    </i>
    <i>
      <x v="2"/>
      <x v="2"/>
      <x/>
      <x/>
      <x/>
    </i>
    <i>
      <x v="3"/>
      <x v="2"/>
      <x/>
      <x/>
      <x v="1"/>
    </i>
    <i>
      <x v="4"/>
      <x v="1"/>
      <x/>
      <x v="1"/>
      <x/>
    </i>
    <i>
      <x v="5"/>
      <x v="1"/>
      <x/>
      <x v="1"/>
      <x v="1"/>
    </i>
    <i>
      <x v="6"/>
      <x/>
      <x/>
      <x v="2"/>
      <x/>
    </i>
    <i>
      <x v="7"/>
      <x/>
      <x/>
      <x v="2"/>
      <x v="1"/>
    </i>
    <i>
      <x v="8"/>
      <x v="2"/>
      <x/>
      <x v="2"/>
      <x/>
    </i>
    <i>
      <x v="9"/>
      <x v="2"/>
      <x/>
      <x v="2"/>
      <x v="1"/>
    </i>
  </rowItems>
  <colFields count="1">
    <field x="3"/>
  </colFields>
  <colItems count="2">
    <i>
      <x/>
    </i>
    <i>
      <x v="1"/>
    </i>
  </colItems>
  <dataFields count="1">
    <dataField name="Сумма по полю Значение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153491-1B2F-471E-A6D6-FF91BBE02C42}" name="Сводная таблица2" cacheId="125" applyNumberFormats="0" applyBorderFormats="0" applyFontFormats="0" applyPatternFormats="0" applyAlignmentFormats="0" applyWidthHeightFormats="1" dataCaption="Значения" updatedVersion="7" minRefreshableVersion="3" useAutoFormatting="1" rowGrandTotals="0" colGrandTotals="0" itemPrintTitles="1" createdVersion="7" indent="0" compact="0" compactData="0" multipleFieldFilters="0" fieldListSortAscending="1">
  <location ref="BB2:BF191" firstHeaderRow="1" firstDataRow="1" firstDataCol="4"/>
  <pivotFields count="13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16"/>
        <item x="5"/>
        <item x="6"/>
        <item x="7"/>
        <item x="12"/>
        <item x="17"/>
        <item x="8"/>
        <item x="9"/>
        <item x="13"/>
        <item x="14"/>
        <item x="15"/>
        <item x="18"/>
        <item x="20"/>
        <item x="10"/>
        <item x="11"/>
        <item x="1"/>
        <item x="2"/>
        <item x="4"/>
        <item x="3"/>
        <item x="0"/>
        <item x="19"/>
      </items>
    </pivotField>
    <pivotField compact="0" outline="0" showAll="0" defaultSubtotal="0"/>
    <pivotField axis="axisRow" compact="0" outline="0" showAll="0" defaultSubtotal="0">
      <items count="10">
        <item x="4"/>
        <item x="5"/>
        <item x="6"/>
        <item x="7"/>
        <item x="8"/>
        <item x="9"/>
        <item x="0"/>
        <item x="1"/>
        <item x="2"/>
        <item x="3"/>
      </items>
    </pivotField>
    <pivotField compact="0" outline="0" showAll="0" defaultSubtotal="0"/>
    <pivotField axis="axisRow" compact="0" outline="0" showAll="0" defaultSubtotal="0">
      <items count="5">
        <item x="3"/>
        <item x="0"/>
        <item x="1"/>
        <item x="2"/>
        <item x="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ubtotalTop="0" showAll="0" defaultSubtotal="0"/>
    <pivotField dataField="1" compact="0" outline="0" subtotalTop="0" showAll="0" defaultSubtotal="0"/>
  </pivotFields>
  <rowFields count="4">
    <field x="9"/>
    <field x="4"/>
    <field x="8"/>
    <field x="6"/>
  </rowFields>
  <rowItems count="189">
    <i>
      <x/>
      <x v="1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2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3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8"/>
    </i>
    <i r="3">
      <x v="9"/>
    </i>
    <i r="1">
      <x v="4"/>
      <x v="3"/>
      <x v="7"/>
    </i>
    <i r="1">
      <x v="6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7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8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9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10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12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13"/>
      <x v="1"/>
      <x v="6"/>
    </i>
    <i r="1">
      <x v="14"/>
      <x v="1"/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15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16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17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18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 r="1">
      <x v="19"/>
      <x v="1"/>
      <x v="6"/>
    </i>
    <i r="3">
      <x v="7"/>
    </i>
    <i r="3">
      <x v="8"/>
    </i>
    <i r="3">
      <x v="9"/>
    </i>
    <i r="2">
      <x v="2"/>
      <x v="6"/>
    </i>
    <i r="3">
      <x v="7"/>
    </i>
    <i r="3">
      <x v="8"/>
    </i>
    <i r="3">
      <x v="9"/>
    </i>
    <i r="2">
      <x v="3"/>
      <x v="7"/>
    </i>
    <i r="3">
      <x v="8"/>
    </i>
    <i r="3">
      <x v="9"/>
    </i>
    <i>
      <x v="1"/>
      <x/>
      <x/>
      <x/>
    </i>
    <i r="3">
      <x v="1"/>
    </i>
    <i r="3">
      <x v="2"/>
    </i>
    <i r="3">
      <x v="3"/>
    </i>
    <i r="3">
      <x v="4"/>
    </i>
    <i r="3">
      <x v="5"/>
    </i>
    <i r="1">
      <x v="5"/>
      <x/>
      <x/>
    </i>
    <i r="3">
      <x v="1"/>
    </i>
    <i r="3">
      <x v="2"/>
    </i>
    <i r="3">
      <x v="3"/>
    </i>
    <i r="3">
      <x v="4"/>
    </i>
    <i r="3">
      <x v="5"/>
    </i>
    <i r="1">
      <x v="11"/>
      <x/>
      <x/>
    </i>
    <i r="3">
      <x v="1"/>
    </i>
    <i r="3">
      <x v="2"/>
    </i>
    <i r="3">
      <x v="3"/>
    </i>
    <i r="3">
      <x v="4"/>
    </i>
    <i r="3">
      <x v="5"/>
    </i>
    <i r="1">
      <x v="20"/>
      <x v="4"/>
      <x/>
    </i>
    <i r="3">
      <x v="1"/>
    </i>
    <i r="3">
      <x v="2"/>
    </i>
    <i r="3">
      <x v="3"/>
    </i>
    <i r="3">
      <x v="4"/>
    </i>
    <i r="3">
      <x v="5"/>
    </i>
  </rowItems>
  <colItems count="1">
    <i/>
  </colItems>
  <dataFields count="1">
    <dataField name="Сумма по полю Значение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2EA0E8-6F2B-424C-9EFE-F63F2F8160BB}" name="Сводная таблица1" cacheId="121" applyNumberFormats="0" applyBorderFormats="0" applyFontFormats="0" applyPatternFormats="0" applyAlignmentFormats="0" applyWidthHeightFormats="1" dataCaption="Значения" updatedVersion="7" minRefreshableVersion="3" useAutoFormatting="1" rowGrandTotals="0" colGrandTotals="0" itemPrintTitles="1" createdVersion="7" indent="0" compact="0" compactData="0" multipleFieldFilters="0" fieldListSortAscending="1">
  <location ref="B2:I3884" firstHeaderRow="1" firstDataRow="2" firstDataCol="6"/>
  <pivotFields count="12">
    <pivotField compact="0" outline="0" showAll="0" defaultSubtotal="0"/>
    <pivotField axis="axisRow" compact="0" outline="0" showAll="0" defaultSubtotal="0">
      <items count="10">
        <item x="6"/>
        <item x="0"/>
        <item x="4"/>
        <item x="1"/>
        <item m="1" x="8"/>
        <item x="2"/>
        <item x="5"/>
        <item x="3"/>
        <item m="1" x="9"/>
        <item m="1" x="7"/>
      </items>
    </pivotField>
    <pivotField axis="axisRow" compact="0" outline="0" showAll="0" defaultSubtotal="0">
      <items count="10">
        <item m="1" x="5"/>
        <item m="1" x="6"/>
        <item x="3"/>
        <item x="2"/>
        <item m="1" x="7"/>
        <item x="1"/>
        <item x="0"/>
        <item m="1" x="8"/>
        <item m="1" x="9"/>
        <item m="1" x="4"/>
      </items>
    </pivotField>
    <pivotField compact="0" outline="0" showAll="0" defaultSubtotal="0"/>
    <pivotField axis="axisRow" compact="0" outline="0" showAll="0" defaultSubtotal="0">
      <items count="15">
        <item x="12"/>
        <item x="10"/>
        <item x="11"/>
        <item x="1"/>
        <item x="5"/>
        <item x="4"/>
        <item x="0"/>
        <item x="6"/>
        <item x="3"/>
        <item x="2"/>
        <item x="7"/>
        <item x="8"/>
        <item x="9"/>
        <item m="1" x="13"/>
        <item m="1" x="14"/>
      </items>
    </pivotField>
    <pivotField axis="axisRow" compact="0" outline="0" showAll="0" defaultSubtotal="0">
      <items count="7">
        <item m="1" x="6"/>
        <item x="5"/>
        <item x="4"/>
        <item x="0"/>
        <item x="1"/>
        <item x="3"/>
        <item x="2"/>
      </items>
    </pivotField>
    <pivotField axis="axisRow" compact="0" outline="0" showAll="0" defaultSubtotal="0">
      <items count="15">
        <item x="6"/>
        <item m="1" x="14"/>
        <item x="0"/>
        <item x="12"/>
        <item x="1"/>
        <item x="7"/>
        <item x="11"/>
        <item m="1" x="13"/>
        <item x="10"/>
        <item x="9"/>
        <item x="3"/>
        <item x="5"/>
        <item x="4"/>
        <item x="8"/>
        <item x="2"/>
      </items>
    </pivotField>
    <pivotField axis="axisRow" compact="0" outline="0" showAll="0" defaultSubtotal="0">
      <items count="656">
        <item x="538"/>
        <item x="539"/>
        <item x="570"/>
        <item x="571"/>
        <item x="9"/>
        <item x="438"/>
        <item x="10"/>
        <item x="26"/>
        <item x="23"/>
        <item x="16"/>
        <item x="618"/>
        <item x="619"/>
        <item x="425"/>
        <item x="428"/>
        <item x="429"/>
        <item x="609"/>
        <item x="20"/>
        <item x="424"/>
        <item x="605"/>
        <item x="431"/>
        <item x="430"/>
        <item x="608"/>
        <item x="437"/>
        <item x="610"/>
        <item x="622"/>
        <item x="611"/>
        <item x="623"/>
        <item x="612"/>
        <item x="434"/>
        <item x="621"/>
        <item x="435"/>
        <item x="17"/>
        <item x="18"/>
        <item x="613"/>
        <item x="534"/>
        <item x="436"/>
        <item x="565"/>
        <item x="616"/>
        <item x="536"/>
        <item x="19"/>
        <item x="615"/>
        <item x="614"/>
        <item x="21"/>
        <item x="626"/>
        <item x="543"/>
        <item x="620"/>
        <item x="564"/>
        <item x="617"/>
        <item x="15"/>
        <item x="624"/>
        <item x="116"/>
        <item x="25"/>
        <item x="627"/>
        <item x="535"/>
        <item x="625"/>
        <item x="24"/>
        <item x="628"/>
        <item x="14"/>
        <item x="22"/>
        <item x="27"/>
        <item x="537"/>
        <item x="566"/>
        <item x="13"/>
        <item x="569"/>
        <item x="630"/>
        <item x="629"/>
        <item x="31"/>
        <item x="28"/>
        <item x="12"/>
        <item x="29"/>
        <item x="11"/>
        <item x="34"/>
        <item x="35"/>
        <item x="115"/>
        <item x="30"/>
        <item x="572"/>
        <item x="36"/>
        <item x="37"/>
        <item x="568"/>
        <item x="32"/>
        <item x="8"/>
        <item x="40"/>
        <item x="42"/>
        <item x="39"/>
        <item x="33"/>
        <item x="567"/>
        <item x="38"/>
        <item x="41"/>
        <item x="7"/>
        <item x="607"/>
        <item x="544"/>
        <item x="598"/>
        <item x="432"/>
        <item x="602"/>
        <item x="427"/>
        <item x="606"/>
        <item x="527"/>
        <item x="528"/>
        <item x="603"/>
        <item x="529"/>
        <item x="604"/>
        <item x="530"/>
        <item x="601"/>
        <item x="600"/>
        <item x="562"/>
        <item x="117"/>
        <item x="563"/>
        <item x="423"/>
        <item x="422"/>
        <item x="596"/>
        <item x="532"/>
        <item x="599"/>
        <item x="533"/>
        <item x="597"/>
        <item x="557"/>
        <item x="595"/>
        <item x="558"/>
        <item x="118"/>
        <item x="592"/>
        <item x="119"/>
        <item x="593"/>
        <item x="426"/>
        <item x="594"/>
        <item x="439"/>
        <item x="590"/>
        <item x="433"/>
        <item x="588"/>
        <item x="586"/>
        <item x="524"/>
        <item x="591"/>
        <item x="525"/>
        <item x="587"/>
        <item x="120"/>
        <item x="559"/>
        <item x="589"/>
        <item x="121"/>
        <item x="560"/>
        <item x="585"/>
        <item x="526"/>
        <item x="582"/>
        <item x="122"/>
        <item x="561"/>
        <item x="583"/>
        <item x="419"/>
        <item x="576"/>
        <item x="584"/>
        <item x="420"/>
        <item x="577"/>
        <item x="580"/>
        <item x="531"/>
        <item x="579"/>
        <item x="581"/>
        <item x="440"/>
        <item x="575"/>
        <item x="123"/>
        <item x="553"/>
        <item x="578"/>
        <item x="421"/>
        <item x="573"/>
        <item x="521"/>
        <item x="574"/>
        <item x="554"/>
        <item x="124"/>
        <item x="555"/>
        <item x="125"/>
        <item x="552"/>
        <item x="441"/>
        <item x="556"/>
        <item x="522"/>
        <item x="126"/>
        <item x="551"/>
        <item x="523"/>
        <item x="415"/>
        <item x="550"/>
        <item x="548"/>
        <item x="418"/>
        <item x="549"/>
        <item x="442"/>
        <item x="127"/>
        <item x="545"/>
        <item x="128"/>
        <item x="547"/>
        <item x="129"/>
        <item x="546"/>
        <item x="518"/>
        <item x="130"/>
        <item x="517"/>
        <item x="519"/>
        <item x="520"/>
        <item x="412"/>
        <item x="131"/>
        <item x="132"/>
        <item x="515"/>
        <item x="516"/>
        <item x="443"/>
        <item x="413"/>
        <item x="414"/>
        <item x="411"/>
        <item x="514"/>
        <item x="416"/>
        <item x="417"/>
        <item x="403"/>
        <item x="404"/>
        <item x="405"/>
        <item x="406"/>
        <item x="402"/>
        <item x="409"/>
        <item x="133"/>
        <item x="134"/>
        <item x="513"/>
        <item x="135"/>
        <item x="136"/>
        <item x="408"/>
        <item x="511"/>
        <item x="510"/>
        <item x="137"/>
        <item x="512"/>
        <item x="506"/>
        <item x="444"/>
        <item x="138"/>
        <item x="507"/>
        <item x="508"/>
        <item x="509"/>
        <item x="504"/>
        <item x="139"/>
        <item x="505"/>
        <item x="140"/>
        <item x="141"/>
        <item x="410"/>
        <item x="396"/>
        <item x="397"/>
        <item x="398"/>
        <item x="142"/>
        <item x="503"/>
        <item x="501"/>
        <item x="399"/>
        <item x="143"/>
        <item x="502"/>
        <item x="401"/>
        <item x="144"/>
        <item x="500"/>
        <item x="499"/>
        <item x="497"/>
        <item x="498"/>
        <item x="145"/>
        <item x="407"/>
        <item x="400"/>
        <item x="392"/>
        <item x="393"/>
        <item x="146"/>
        <item x="147"/>
        <item x="148"/>
        <item x="494"/>
        <item x="496"/>
        <item x="495"/>
        <item x="493"/>
        <item x="445"/>
        <item x="490"/>
        <item x="395"/>
        <item x="149"/>
        <item x="150"/>
        <item x="491"/>
        <item x="492"/>
        <item x="488"/>
        <item x="489"/>
        <item x="151"/>
        <item x="152"/>
        <item x="389"/>
        <item x="487"/>
        <item x="486"/>
        <item x="153"/>
        <item x="154"/>
        <item x="391"/>
        <item x="394"/>
        <item x="481"/>
        <item x="385"/>
        <item x="482"/>
        <item x="478"/>
        <item x="483"/>
        <item x="484"/>
        <item x="479"/>
        <item x="387"/>
        <item x="485"/>
        <item x="480"/>
        <item x="475"/>
        <item x="476"/>
        <item x="386"/>
        <item x="155"/>
        <item x="477"/>
        <item x="474"/>
        <item x="390"/>
        <item x="156"/>
        <item x="382"/>
        <item x="472"/>
        <item x="383"/>
        <item x="381"/>
        <item x="473"/>
        <item x="446"/>
        <item x="157"/>
        <item x="471"/>
        <item x="470"/>
        <item x="384"/>
        <item x="158"/>
        <item x="159"/>
        <item x="469"/>
        <item x="160"/>
        <item x="161"/>
        <item x="380"/>
        <item x="467"/>
        <item x="468"/>
        <item x="162"/>
        <item x="163"/>
        <item x="388"/>
        <item x="465"/>
        <item x="379"/>
        <item x="466"/>
        <item x="463"/>
        <item x="464"/>
        <item x="462"/>
        <item x="447"/>
        <item x="164"/>
        <item x="165"/>
        <item x="166"/>
        <item x="167"/>
        <item x="168"/>
        <item x="169"/>
        <item x="170"/>
        <item x="457"/>
        <item x="461"/>
        <item x="171"/>
        <item x="459"/>
        <item x="460"/>
        <item x="458"/>
        <item x="454"/>
        <item x="378"/>
        <item x="455"/>
        <item x="456"/>
        <item x="452"/>
        <item x="450"/>
        <item x="453"/>
        <item x="448"/>
        <item x="449"/>
        <item x="451"/>
        <item x="172"/>
        <item x="173"/>
        <item x="174"/>
        <item x="373"/>
        <item x="374"/>
        <item x="375"/>
        <item x="376"/>
        <item x="371"/>
        <item x="377"/>
        <item x="175"/>
        <item x="367"/>
        <item x="176"/>
        <item x="368"/>
        <item x="366"/>
        <item x="369"/>
        <item x="370"/>
        <item x="372"/>
        <item x="361"/>
        <item x="177"/>
        <item x="178"/>
        <item x="179"/>
        <item x="180"/>
        <item x="362"/>
        <item x="363"/>
        <item x="364"/>
        <item x="365"/>
        <item x="354"/>
        <item x="355"/>
        <item x="360"/>
        <item x="359"/>
        <item x="352"/>
        <item x="181"/>
        <item x="356"/>
        <item x="357"/>
        <item x="358"/>
        <item x="349"/>
        <item x="350"/>
        <item x="353"/>
        <item x="351"/>
        <item x="343"/>
        <item x="182"/>
        <item x="344"/>
        <item x="183"/>
        <item x="184"/>
        <item x="345"/>
        <item x="348"/>
        <item x="347"/>
        <item x="346"/>
        <item x="339"/>
        <item x="185"/>
        <item x="340"/>
        <item x="186"/>
        <item x="187"/>
        <item x="342"/>
        <item x="341"/>
        <item x="337"/>
        <item x="338"/>
        <item x="188"/>
        <item x="189"/>
        <item x="190"/>
        <item x="191"/>
        <item x="333"/>
        <item x="334"/>
        <item x="192"/>
        <item x="335"/>
        <item x="336"/>
        <item x="332"/>
        <item x="329"/>
        <item x="330"/>
        <item x="193"/>
        <item x="194"/>
        <item x="195"/>
        <item x="196"/>
        <item x="197"/>
        <item x="198"/>
        <item x="331"/>
        <item x="327"/>
        <item x="328"/>
        <item x="325"/>
        <item x="322"/>
        <item x="323"/>
        <item x="321"/>
        <item x="199"/>
        <item x="200"/>
        <item x="326"/>
        <item x="318"/>
        <item x="324"/>
        <item x="201"/>
        <item x="319"/>
        <item x="202"/>
        <item x="320"/>
        <item x="317"/>
        <item x="203"/>
        <item x="204"/>
        <item x="205"/>
        <item x="206"/>
        <item x="207"/>
        <item x="208"/>
        <item x="314"/>
        <item x="209"/>
        <item x="315"/>
        <item x="316"/>
        <item x="210"/>
        <item x="211"/>
        <item x="212"/>
        <item x="213"/>
        <item x="313"/>
        <item x="214"/>
        <item x="215"/>
        <item x="312"/>
        <item x="216"/>
        <item x="217"/>
        <item x="218"/>
        <item x="219"/>
        <item x="305"/>
        <item x="304"/>
        <item x="307"/>
        <item x="306"/>
        <item x="292"/>
        <item x="220"/>
        <item x="310"/>
        <item x="221"/>
        <item x="311"/>
        <item x="291"/>
        <item x="273"/>
        <item x="309"/>
        <item x="272"/>
        <item x="293"/>
        <item x="308"/>
        <item x="222"/>
        <item x="276"/>
        <item x="294"/>
        <item x="296"/>
        <item x="223"/>
        <item x="277"/>
        <item x="297"/>
        <item x="301"/>
        <item x="274"/>
        <item x="264"/>
        <item x="278"/>
        <item x="279"/>
        <item x="298"/>
        <item x="299"/>
        <item x="300"/>
        <item x="302"/>
        <item x="303"/>
        <item x="280"/>
        <item x="281"/>
        <item x="224"/>
        <item x="262"/>
        <item x="263"/>
        <item x="275"/>
        <item x="282"/>
        <item x="283"/>
        <item x="295"/>
        <item x="225"/>
        <item x="265"/>
        <item x="284"/>
        <item x="285"/>
        <item x="266"/>
        <item x="287"/>
        <item x="255"/>
        <item x="267"/>
        <item x="288"/>
        <item x="289"/>
        <item x="286"/>
        <item x="268"/>
        <item x="226"/>
        <item x="290"/>
        <item x="269"/>
        <item m="1" x="649"/>
        <item m="1" x="644"/>
        <item m="1" x="651"/>
        <item x="227"/>
        <item x="270"/>
        <item x="254"/>
        <item x="256"/>
        <item x="271"/>
        <item x="242"/>
        <item x="258"/>
        <item x="257"/>
        <item x="259"/>
        <item x="260"/>
        <item x="241"/>
        <item x="243"/>
        <item x="261"/>
        <item x="244"/>
        <item x="234"/>
        <item x="248"/>
        <item x="235"/>
        <item x="246"/>
        <item x="249"/>
        <item x="236"/>
        <item x="247"/>
        <item x="250"/>
        <item x="232"/>
        <item x="228"/>
        <item x="237"/>
        <item x="251"/>
        <item x="252"/>
        <item x="253"/>
        <item x="238"/>
        <item x="229"/>
        <item x="230"/>
        <item x="233"/>
        <item x="239"/>
        <item x="245"/>
        <item x="240"/>
        <item x="231"/>
        <item x="114"/>
        <item m="1" x="646"/>
        <item m="1" x="652"/>
        <item m="1" x="648"/>
        <item m="1" x="654"/>
        <item m="1" x="645"/>
        <item m="1" x="650"/>
        <item m="1" x="647"/>
        <item m="1" x="655"/>
        <item m="1" x="653"/>
        <item x="85"/>
        <item x="86"/>
        <item x="87"/>
        <item x="80"/>
        <item x="81"/>
        <item x="82"/>
        <item x="106"/>
        <item x="107"/>
        <item x="83"/>
        <item x="84"/>
        <item x="94"/>
        <item x="95"/>
        <item x="5"/>
        <item x="56"/>
        <item x="57"/>
        <item x="58"/>
        <item x="1"/>
        <item x="93"/>
        <item x="96"/>
        <item x="98"/>
        <item x="99"/>
        <item x="100"/>
        <item x="88"/>
        <item x="89"/>
        <item x="90"/>
        <item x="631"/>
        <item x="632"/>
        <item x="633"/>
        <item x="110"/>
        <item x="111"/>
        <item x="112"/>
        <item x="113"/>
        <item x="0"/>
        <item x="634"/>
        <item x="635"/>
        <item x="636"/>
        <item x="637"/>
        <item x="638"/>
        <item x="101"/>
        <item x="102"/>
        <item x="103"/>
        <item x="104"/>
        <item x="105"/>
        <item x="91"/>
        <item x="92"/>
        <item x="97"/>
        <item x="108"/>
        <item x="109"/>
        <item x="639"/>
        <item x="640"/>
        <item x="641"/>
        <item x="642"/>
        <item x="643"/>
        <item x="2"/>
        <item x="63"/>
        <item x="77"/>
        <item x="76"/>
        <item x="54"/>
        <item x="44"/>
        <item x="6"/>
        <item x="45"/>
        <item x="46"/>
        <item x="47"/>
        <item x="48"/>
        <item x="49"/>
        <item x="50"/>
        <item x="51"/>
        <item x="52"/>
        <item x="53"/>
        <item x="55"/>
        <item x="59"/>
        <item x="60"/>
        <item x="61"/>
        <item x="62"/>
        <item x="43"/>
        <item x="4"/>
        <item x="78"/>
        <item x="79"/>
        <item x="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540"/>
        <item x="541"/>
        <item x="542"/>
      </items>
    </pivotField>
    <pivotField axis="axisCol" compact="0" outline="0" showAll="0" defaultSubtotal="0">
      <items count="3">
        <item m="1" x="2"/>
        <item x="0"/>
        <item x="1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6">
    <field x="1"/>
    <field x="2"/>
    <field x="7"/>
    <field x="4"/>
    <field x="5"/>
    <field x="6"/>
  </rowFields>
  <rowItems count="3881">
    <i>
      <x/>
      <x v="5"/>
      <x/>
      <x/>
      <x v="1"/>
      <x v="3"/>
    </i>
    <i r="3">
      <x v="2"/>
      <x v="1"/>
      <x v="3"/>
    </i>
    <i r="3">
      <x v="3"/>
      <x v="1"/>
      <x v="3"/>
    </i>
    <i r="3">
      <x v="4"/>
      <x v="1"/>
      <x v="3"/>
    </i>
    <i r="1">
      <x v="6"/>
      <x v="1"/>
      <x v="6"/>
      <x v="1"/>
      <x v="3"/>
    </i>
    <i r="3">
      <x v="7"/>
      <x v="1"/>
      <x v="3"/>
    </i>
    <i>
      <x v="1"/>
      <x v="5"/>
      <x v="460"/>
      <x v="3"/>
      <x v="3"/>
      <x v="2"/>
    </i>
    <i r="3">
      <x v="4"/>
      <x v="3"/>
      <x v="2"/>
    </i>
    <i r="3">
      <x v="5"/>
      <x v="3"/>
      <x v="2"/>
    </i>
    <i r="2">
      <x v="461"/>
      <x v="3"/>
      <x v="3"/>
      <x v="2"/>
    </i>
    <i r="3">
      <x v="4"/>
      <x v="3"/>
      <x v="2"/>
    </i>
    <i r="3">
      <x v="5"/>
      <x v="3"/>
      <x v="2"/>
    </i>
    <i r="2">
      <x v="462"/>
      <x v="3"/>
      <x v="3"/>
      <x v="2"/>
    </i>
    <i r="3">
      <x v="4"/>
      <x v="3"/>
      <x v="2"/>
    </i>
    <i r="3">
      <x v="5"/>
      <x v="3"/>
      <x v="2"/>
    </i>
    <i r="2">
      <x v="463"/>
      <x v="3"/>
      <x v="3"/>
      <x v="2"/>
    </i>
    <i r="3">
      <x v="4"/>
      <x v="3"/>
      <x v="2"/>
    </i>
    <i r="3">
      <x v="5"/>
      <x v="3"/>
      <x v="2"/>
    </i>
    <i r="2">
      <x v="464"/>
      <x v="3"/>
      <x v="3"/>
      <x v="2"/>
    </i>
    <i r="3">
      <x v="4"/>
      <x v="3"/>
      <x v="2"/>
    </i>
    <i r="3">
      <x v="5"/>
      <x v="3"/>
      <x v="2"/>
    </i>
    <i r="2">
      <x v="465"/>
      <x v="3"/>
      <x v="3"/>
      <x v="2"/>
    </i>
    <i r="3">
      <x v="4"/>
      <x v="3"/>
      <x v="2"/>
    </i>
    <i r="3">
      <x v="5"/>
      <x v="3"/>
      <x v="2"/>
    </i>
    <i r="2">
      <x v="466"/>
      <x v="3"/>
      <x v="3"/>
      <x v="2"/>
    </i>
    <i r="3">
      <x v="4"/>
      <x v="3"/>
      <x v="2"/>
    </i>
    <i r="3">
      <x v="5"/>
      <x v="3"/>
      <x v="2"/>
    </i>
    <i r="2">
      <x v="467"/>
      <x v="3"/>
      <x v="3"/>
      <x v="2"/>
    </i>
    <i r="3">
      <x v="4"/>
      <x v="3"/>
      <x v="2"/>
    </i>
    <i r="3">
      <x v="5"/>
      <x v="3"/>
      <x v="2"/>
    </i>
    <i r="2">
      <x v="468"/>
      <x v="3"/>
      <x v="3"/>
      <x v="2"/>
    </i>
    <i r="3">
      <x v="4"/>
      <x v="3"/>
      <x v="2"/>
    </i>
    <i r="3">
      <x v="5"/>
      <x v="3"/>
      <x v="2"/>
    </i>
    <i r="2">
      <x v="499"/>
      <x v="5"/>
      <x v="3"/>
      <x v="2"/>
    </i>
    <i r="2">
      <x v="500"/>
      <x v="5"/>
      <x v="3"/>
      <x v="2"/>
    </i>
    <i r="2">
      <x v="516"/>
      <x v="3"/>
      <x v="3"/>
      <x v="2"/>
    </i>
    <i r="3">
      <x v="4"/>
      <x v="3"/>
      <x v="2"/>
    </i>
    <i r="3">
      <x v="5"/>
      <x v="3"/>
      <x v="2"/>
    </i>
    <i r="2">
      <x v="517"/>
      <x v="3"/>
      <x v="3"/>
      <x v="2"/>
    </i>
    <i r="3">
      <x v="4"/>
      <x v="3"/>
      <x v="2"/>
    </i>
    <i r="3">
      <x v="5"/>
      <x v="3"/>
      <x v="2"/>
    </i>
    <i r="2">
      <x v="518"/>
      <x v="3"/>
      <x v="3"/>
      <x v="2"/>
    </i>
    <i r="3">
      <x v="4"/>
      <x v="3"/>
      <x v="2"/>
    </i>
    <i r="3">
      <x v="5"/>
      <x v="3"/>
      <x v="2"/>
    </i>
    <i r="2">
      <x v="519"/>
      <x v="3"/>
      <x v="3"/>
      <x v="2"/>
    </i>
    <i r="3">
      <x v="4"/>
      <x v="3"/>
      <x v="2"/>
    </i>
    <i r="3">
      <x v="5"/>
      <x v="3"/>
      <x v="2"/>
    </i>
    <i r="2">
      <x v="520"/>
      <x v="3"/>
      <x v="3"/>
      <x v="2"/>
    </i>
    <i r="3">
      <x v="4"/>
      <x v="3"/>
      <x v="2"/>
    </i>
    <i r="3">
      <x v="5"/>
      <x v="3"/>
      <x v="2"/>
    </i>
    <i r="2">
      <x v="521"/>
      <x v="3"/>
      <x v="3"/>
      <x v="2"/>
    </i>
    <i r="3">
      <x v="4"/>
      <x v="3"/>
      <x v="2"/>
    </i>
    <i r="3">
      <x v="5"/>
      <x v="3"/>
      <x v="2"/>
    </i>
    <i r="2">
      <x v="522"/>
      <x v="3"/>
      <x v="3"/>
      <x v="2"/>
    </i>
    <i r="3">
      <x v="4"/>
      <x v="3"/>
      <x v="2"/>
    </i>
    <i r="3">
      <x v="5"/>
      <x v="3"/>
      <x v="2"/>
    </i>
    <i r="2">
      <x v="523"/>
      <x v="3"/>
      <x v="3"/>
      <x v="2"/>
    </i>
    <i r="3">
      <x v="4"/>
      <x v="3"/>
      <x v="2"/>
    </i>
    <i r="3">
      <x v="5"/>
      <x v="3"/>
      <x v="2"/>
    </i>
    <i r="2">
      <x v="524"/>
      <x v="3"/>
      <x v="3"/>
      <x v="2"/>
    </i>
    <i r="3">
      <x v="4"/>
      <x v="3"/>
      <x v="2"/>
    </i>
    <i r="3">
      <x v="5"/>
      <x v="3"/>
      <x v="2"/>
    </i>
    <i r="2">
      <x v="525"/>
      <x v="3"/>
      <x v="3"/>
      <x v="2"/>
    </i>
    <i r="3">
      <x v="4"/>
      <x v="3"/>
      <x v="2"/>
    </i>
    <i r="3">
      <x v="5"/>
      <x v="3"/>
      <x v="2"/>
    </i>
    <i r="2">
      <x v="526"/>
      <x v="3"/>
      <x v="3"/>
      <x v="2"/>
    </i>
    <i r="3">
      <x v="4"/>
      <x v="3"/>
      <x v="2"/>
    </i>
    <i r="3">
      <x v="5"/>
      <x v="3"/>
      <x v="2"/>
    </i>
    <i r="2">
      <x v="527"/>
      <x v="3"/>
      <x v="3"/>
      <x v="2"/>
    </i>
    <i r="3">
      <x v="4"/>
      <x v="3"/>
      <x v="2"/>
    </i>
    <i r="3">
      <x v="5"/>
      <x v="3"/>
      <x v="2"/>
    </i>
    <i r="2">
      <x v="562"/>
      <x v="3"/>
      <x v="3"/>
      <x v="2"/>
    </i>
    <i r="3">
      <x v="4"/>
      <x v="3"/>
      <x v="2"/>
    </i>
    <i r="3">
      <x v="5"/>
      <x v="3"/>
      <x v="2"/>
    </i>
    <i r="2">
      <x v="563"/>
      <x v="3"/>
      <x v="3"/>
      <x v="2"/>
    </i>
    <i r="3">
      <x v="4"/>
      <x v="3"/>
      <x v="2"/>
    </i>
    <i r="3">
      <x v="5"/>
      <x v="3"/>
      <x v="2"/>
    </i>
    <i r="2">
      <x v="564"/>
      <x v="3"/>
      <x v="3"/>
      <x v="2"/>
    </i>
    <i r="3">
      <x v="4"/>
      <x v="3"/>
      <x v="2"/>
    </i>
    <i r="3">
      <x v="5"/>
      <x v="3"/>
      <x v="2"/>
    </i>
    <i r="2">
      <x v="568"/>
      <x v="3"/>
      <x v="3"/>
      <x v="2"/>
    </i>
    <i r="3">
      <x v="4"/>
      <x v="3"/>
      <x v="2"/>
    </i>
    <i r="3">
      <x v="5"/>
      <x v="3"/>
      <x v="2"/>
    </i>
    <i r="2">
      <x v="569"/>
      <x v="3"/>
      <x v="3"/>
      <x v="2"/>
    </i>
    <i r="3">
      <x v="4"/>
      <x v="3"/>
      <x v="2"/>
    </i>
    <i r="3">
      <x v="5"/>
      <x v="3"/>
      <x v="2"/>
    </i>
    <i r="2">
      <x v="582"/>
      <x v="3"/>
      <x v="3"/>
      <x v="2"/>
    </i>
    <i r="3">
      <x v="4"/>
      <x v="3"/>
      <x v="2"/>
    </i>
    <i r="3">
      <x v="5"/>
      <x v="3"/>
      <x v="2"/>
    </i>
    <i r="2">
      <x v="583"/>
      <x v="3"/>
      <x v="3"/>
      <x v="2"/>
    </i>
    <i r="3">
      <x v="4"/>
      <x v="3"/>
      <x v="2"/>
    </i>
    <i r="3">
      <x v="5"/>
      <x v="3"/>
      <x v="2"/>
    </i>
    <i r="2">
      <x v="600"/>
      <x v="3"/>
      <x v="3"/>
      <x v="2"/>
    </i>
    <i r="3">
      <x v="4"/>
      <x v="3"/>
      <x v="2"/>
    </i>
    <i r="3">
      <x v="5"/>
      <x v="3"/>
      <x v="2"/>
    </i>
    <i r="2">
      <x v="601"/>
      <x v="3"/>
      <x v="3"/>
      <x v="2"/>
    </i>
    <i r="3">
      <x v="4"/>
      <x v="3"/>
      <x v="2"/>
    </i>
    <i r="3">
      <x v="5"/>
      <x v="3"/>
      <x v="2"/>
    </i>
    <i r="2">
      <x v="602"/>
      <x v="3"/>
      <x v="3"/>
      <x v="2"/>
    </i>
    <i r="3">
      <x v="4"/>
      <x v="3"/>
      <x v="2"/>
    </i>
    <i r="3">
      <x v="5"/>
      <x v="3"/>
      <x v="2"/>
    </i>
    <i r="2">
      <x v="603"/>
      <x v="3"/>
      <x v="3"/>
      <x v="2"/>
    </i>
    <i r="3">
      <x v="4"/>
      <x v="3"/>
      <x v="2"/>
    </i>
    <i r="3">
      <x v="5"/>
      <x v="3"/>
      <x v="2"/>
    </i>
    <i r="2">
      <x v="604"/>
      <x v="3"/>
      <x v="3"/>
      <x v="2"/>
    </i>
    <i r="3">
      <x v="4"/>
      <x v="3"/>
      <x v="2"/>
    </i>
    <i r="3">
      <x v="5"/>
      <x v="3"/>
      <x v="2"/>
    </i>
    <i r="1">
      <x v="6"/>
      <x v="469"/>
      <x v="6"/>
      <x v="3"/>
      <x v="2"/>
    </i>
    <i r="3">
      <x v="7"/>
      <x v="3"/>
      <x v="2"/>
    </i>
    <i r="2">
      <x v="470"/>
      <x v="6"/>
      <x v="3"/>
      <x v="2"/>
    </i>
    <i r="3">
      <x v="7"/>
      <x v="3"/>
      <x v="2"/>
    </i>
    <i r="2">
      <x v="471"/>
      <x v="6"/>
      <x v="3"/>
      <x v="2"/>
    </i>
    <i r="3">
      <x v="7"/>
      <x v="3"/>
      <x v="2"/>
    </i>
    <i r="2">
      <x v="472"/>
      <x v="6"/>
      <x v="3"/>
      <x v="2"/>
    </i>
    <i r="3">
      <x v="7"/>
      <x v="3"/>
      <x v="2"/>
    </i>
    <i r="2">
      <x v="473"/>
      <x v="6"/>
      <x v="3"/>
      <x v="2"/>
    </i>
    <i r="3">
      <x v="7"/>
      <x v="3"/>
      <x v="2"/>
    </i>
    <i r="2">
      <x v="474"/>
      <x v="6"/>
      <x v="3"/>
      <x v="2"/>
    </i>
    <i r="3">
      <x v="7"/>
      <x v="3"/>
      <x v="2"/>
    </i>
    <i r="2">
      <x v="475"/>
      <x v="6"/>
      <x v="3"/>
      <x v="2"/>
    </i>
    <i r="3">
      <x v="7"/>
      <x v="3"/>
      <x v="2"/>
    </i>
    <i r="2">
      <x v="476"/>
      <x v="6"/>
      <x v="3"/>
      <x v="2"/>
    </i>
    <i r="3">
      <x v="7"/>
      <x v="3"/>
      <x v="2"/>
    </i>
    <i r="2">
      <x v="477"/>
      <x v="6"/>
      <x v="3"/>
      <x v="2"/>
    </i>
    <i r="3">
      <x v="7"/>
      <x v="3"/>
      <x v="2"/>
    </i>
    <i r="2">
      <x v="478"/>
      <x v="6"/>
      <x v="3"/>
      <x v="2"/>
    </i>
    <i r="3">
      <x v="7"/>
      <x v="3"/>
      <x v="2"/>
    </i>
    <i r="2">
      <x v="479"/>
      <x v="6"/>
      <x v="3"/>
      <x v="2"/>
    </i>
    <i r="3">
      <x v="7"/>
      <x v="3"/>
      <x v="2"/>
    </i>
    <i r="2">
      <x v="480"/>
      <x v="6"/>
      <x v="3"/>
      <x v="2"/>
    </i>
    <i r="3">
      <x v="7"/>
      <x v="3"/>
      <x v="2"/>
    </i>
    <i r="2">
      <x v="481"/>
      <x v="6"/>
      <x v="3"/>
      <x v="2"/>
    </i>
    <i r="3">
      <x v="7"/>
      <x v="3"/>
      <x v="2"/>
    </i>
    <i r="2">
      <x v="498"/>
      <x v="6"/>
      <x v="3"/>
      <x v="2"/>
    </i>
    <i r="3">
      <x v="7"/>
      <x v="3"/>
      <x v="2"/>
    </i>
    <i r="2">
      <x v="528"/>
      <x v="6"/>
      <x v="3"/>
      <x v="2"/>
    </i>
    <i r="3">
      <x v="7"/>
      <x v="3"/>
      <x v="2"/>
    </i>
    <i r="2">
      <x v="529"/>
      <x v="6"/>
      <x v="3"/>
      <x v="2"/>
    </i>
    <i r="3">
      <x v="7"/>
      <x v="3"/>
      <x v="2"/>
    </i>
    <i r="2">
      <x v="530"/>
      <x v="6"/>
      <x v="3"/>
      <x v="2"/>
    </i>
    <i r="3">
      <x v="7"/>
      <x v="3"/>
      <x v="2"/>
    </i>
    <i r="2">
      <x v="531"/>
      <x v="6"/>
      <x v="3"/>
      <x v="2"/>
    </i>
    <i r="3">
      <x v="7"/>
      <x v="3"/>
      <x v="2"/>
    </i>
    <i r="2">
      <x v="532"/>
      <x v="6"/>
      <x v="3"/>
      <x v="2"/>
    </i>
    <i r="3">
      <x v="7"/>
      <x v="3"/>
      <x v="2"/>
    </i>
    <i r="2">
      <x v="533"/>
      <x v="6"/>
      <x v="3"/>
      <x v="2"/>
    </i>
    <i r="3">
      <x v="7"/>
      <x v="3"/>
      <x v="2"/>
    </i>
    <i r="2">
      <x v="534"/>
      <x v="6"/>
      <x v="3"/>
      <x v="2"/>
    </i>
    <i r="3">
      <x v="7"/>
      <x v="3"/>
      <x v="2"/>
    </i>
    <i r="2">
      <x v="535"/>
      <x v="6"/>
      <x v="3"/>
      <x v="2"/>
    </i>
    <i r="3">
      <x v="7"/>
      <x v="3"/>
      <x v="2"/>
    </i>
    <i r="2">
      <x v="536"/>
      <x v="6"/>
      <x v="3"/>
      <x v="2"/>
    </i>
    <i r="3">
      <x v="7"/>
      <x v="3"/>
      <x v="2"/>
    </i>
    <i r="2">
      <x v="537"/>
      <x v="6"/>
      <x v="3"/>
      <x v="2"/>
    </i>
    <i r="3">
      <x v="7"/>
      <x v="3"/>
      <x v="2"/>
    </i>
    <i r="2">
      <x v="538"/>
      <x v="6"/>
      <x v="3"/>
      <x v="2"/>
    </i>
    <i r="3">
      <x v="7"/>
      <x v="3"/>
      <x v="2"/>
    </i>
    <i r="2">
      <x v="539"/>
      <x v="6"/>
      <x v="3"/>
      <x v="2"/>
    </i>
    <i r="3">
      <x v="7"/>
      <x v="3"/>
      <x v="2"/>
    </i>
    <i r="2">
      <x v="562"/>
      <x v="6"/>
      <x v="3"/>
      <x v="2"/>
    </i>
    <i r="3">
      <x v="7"/>
      <x v="3"/>
      <x v="2"/>
    </i>
    <i r="2">
      <x v="563"/>
      <x v="6"/>
      <x v="3"/>
      <x v="2"/>
    </i>
    <i r="3">
      <x v="7"/>
      <x v="3"/>
      <x v="2"/>
    </i>
    <i r="2">
      <x v="564"/>
      <x v="6"/>
      <x v="3"/>
      <x v="2"/>
    </i>
    <i r="3">
      <x v="7"/>
      <x v="3"/>
      <x v="2"/>
    </i>
    <i r="2">
      <x v="565"/>
      <x v="6"/>
      <x v="3"/>
      <x v="2"/>
    </i>
    <i r="3">
      <x v="7"/>
      <x v="3"/>
      <x v="2"/>
    </i>
    <i r="2">
      <x v="566"/>
      <x v="6"/>
      <x v="3"/>
      <x v="2"/>
    </i>
    <i r="3">
      <x v="7"/>
      <x v="3"/>
      <x v="2"/>
    </i>
    <i r="2">
      <x v="567"/>
      <x v="6"/>
      <x v="3"/>
      <x v="2"/>
    </i>
    <i r="3">
      <x v="7"/>
      <x v="3"/>
      <x v="2"/>
    </i>
    <i r="2">
      <x v="570"/>
      <x v="6"/>
      <x v="3"/>
      <x v="2"/>
    </i>
    <i r="3">
      <x v="7"/>
      <x v="3"/>
      <x v="2"/>
    </i>
    <i r="2">
      <x v="571"/>
      <x v="6"/>
      <x v="3"/>
      <x v="2"/>
    </i>
    <i r="3">
      <x v="7"/>
      <x v="3"/>
      <x v="2"/>
    </i>
    <i r="2">
      <x v="584"/>
      <x v="6"/>
      <x v="3"/>
      <x v="2"/>
    </i>
    <i r="3">
      <x v="7"/>
      <x v="3"/>
      <x v="2"/>
    </i>
    <i r="2">
      <x v="585"/>
      <x v="6"/>
      <x v="3"/>
      <x v="2"/>
    </i>
    <i r="3">
      <x v="7"/>
      <x v="3"/>
      <x v="2"/>
    </i>
    <i r="2">
      <x v="586"/>
      <x v="6"/>
      <x v="3"/>
      <x v="2"/>
    </i>
    <i r="3">
      <x v="7"/>
      <x v="3"/>
      <x v="2"/>
    </i>
    <i r="2">
      <x v="590"/>
      <x v="6"/>
      <x v="3"/>
      <x v="2"/>
    </i>
    <i r="3">
      <x v="7"/>
      <x v="3"/>
      <x v="2"/>
    </i>
    <i r="2">
      <x v="591"/>
      <x v="6"/>
      <x v="3"/>
      <x v="2"/>
    </i>
    <i r="3">
      <x v="7"/>
      <x v="3"/>
      <x v="2"/>
    </i>
    <i r="2">
      <x v="592"/>
      <x v="6"/>
      <x v="3"/>
      <x v="2"/>
    </i>
    <i r="3">
      <x v="7"/>
      <x v="3"/>
      <x v="2"/>
    </i>
    <i r="2">
      <x v="593"/>
      <x v="6"/>
      <x v="3"/>
      <x v="2"/>
    </i>
    <i r="3">
      <x v="7"/>
      <x v="3"/>
      <x v="2"/>
    </i>
    <i r="2">
      <x v="594"/>
      <x v="6"/>
      <x v="3"/>
      <x v="2"/>
    </i>
    <i r="3">
      <x v="7"/>
      <x v="3"/>
      <x v="2"/>
    </i>
    <i r="2">
      <x v="605"/>
      <x v="6"/>
      <x v="3"/>
      <x v="2"/>
    </i>
    <i r="3">
      <x v="7"/>
      <x v="3"/>
      <x v="2"/>
    </i>
    <i r="2">
      <x v="606"/>
      <x v="6"/>
      <x v="3"/>
      <x v="2"/>
    </i>
    <i r="3">
      <x v="7"/>
      <x v="3"/>
      <x v="2"/>
    </i>
    <i r="2">
      <x v="607"/>
      <x v="6"/>
      <x v="3"/>
      <x v="2"/>
    </i>
    <i r="3">
      <x v="7"/>
      <x v="3"/>
      <x v="2"/>
    </i>
    <i r="2">
      <x v="608"/>
      <x v="6"/>
      <x v="3"/>
      <x v="2"/>
    </i>
    <i r="3">
      <x v="7"/>
      <x v="3"/>
      <x v="2"/>
    </i>
    <i r="2">
      <x v="609"/>
      <x v="6"/>
      <x v="3"/>
      <x v="2"/>
    </i>
    <i r="3">
      <x v="7"/>
      <x v="3"/>
      <x v="2"/>
    </i>
    <i>
      <x v="2"/>
      <x v="5"/>
      <x v="501"/>
      <x v="8"/>
      <x v="3"/>
      <x v="2"/>
    </i>
    <i r="2">
      <x v="502"/>
      <x v="8"/>
      <x v="3"/>
      <x v="2"/>
    </i>
    <i r="1">
      <x v="6"/>
      <x v="482"/>
      <x v="9"/>
      <x v="3"/>
      <x v="2"/>
    </i>
    <i r="2">
      <x v="483"/>
      <x v="9"/>
      <x v="3"/>
      <x v="2"/>
    </i>
    <i r="2">
      <x v="484"/>
      <x v="9"/>
      <x v="3"/>
      <x v="2"/>
    </i>
    <i r="2">
      <x v="485"/>
      <x v="9"/>
      <x v="3"/>
      <x v="2"/>
    </i>
    <i r="2">
      <x v="486"/>
      <x v="9"/>
      <x v="3"/>
      <x v="2"/>
    </i>
    <i r="2">
      <x v="487"/>
      <x v="9"/>
      <x v="3"/>
      <x v="2"/>
    </i>
    <i r="2">
      <x v="488"/>
      <x v="9"/>
      <x v="3"/>
      <x v="2"/>
    </i>
    <i r="2">
      <x v="489"/>
      <x v="9"/>
      <x v="3"/>
      <x v="2"/>
    </i>
    <i r="2">
      <x v="490"/>
      <x v="9"/>
      <x v="3"/>
      <x v="2"/>
    </i>
    <i r="2">
      <x v="491"/>
      <x v="9"/>
      <x v="3"/>
      <x v="2"/>
    </i>
    <i r="2">
      <x v="492"/>
      <x v="9"/>
      <x v="3"/>
      <x v="2"/>
    </i>
    <i r="2">
      <x v="493"/>
      <x v="9"/>
      <x v="3"/>
      <x v="2"/>
    </i>
    <i r="2">
      <x v="494"/>
      <x v="9"/>
      <x v="3"/>
      <x v="2"/>
    </i>
    <i r="2">
      <x v="495"/>
      <x v="9"/>
      <x v="3"/>
      <x v="2"/>
    </i>
    <i r="2">
      <x v="496"/>
      <x v="9"/>
      <x v="3"/>
      <x v="2"/>
    </i>
    <i r="2">
      <x v="497"/>
      <x v="9"/>
      <x v="3"/>
      <x v="2"/>
    </i>
    <i r="2">
      <x v="503"/>
      <x v="9"/>
      <x v="3"/>
      <x v="2"/>
    </i>
    <i r="2">
      <x v="504"/>
      <x v="9"/>
      <x v="3"/>
      <x v="2"/>
    </i>
    <i r="2">
      <x v="540"/>
      <x v="9"/>
      <x v="3"/>
      <x v="2"/>
    </i>
    <i r="2">
      <x v="541"/>
      <x v="9"/>
      <x v="3"/>
      <x v="2"/>
    </i>
    <i r="2">
      <x v="542"/>
      <x v="9"/>
      <x v="3"/>
      <x v="2"/>
    </i>
    <i r="2">
      <x v="543"/>
      <x v="9"/>
      <x v="3"/>
      <x v="2"/>
    </i>
    <i r="2">
      <x v="544"/>
      <x v="9"/>
      <x v="3"/>
      <x v="2"/>
    </i>
    <i r="2">
      <x v="545"/>
      <x v="9"/>
      <x v="3"/>
      <x v="2"/>
    </i>
    <i r="2">
      <x v="546"/>
      <x v="9"/>
      <x v="3"/>
      <x v="2"/>
    </i>
    <i r="2">
      <x v="547"/>
      <x v="9"/>
      <x v="3"/>
      <x v="2"/>
    </i>
    <i r="2">
      <x v="548"/>
      <x v="9"/>
      <x v="3"/>
      <x v="2"/>
    </i>
    <i r="2">
      <x v="549"/>
      <x v="9"/>
      <x v="3"/>
      <x v="2"/>
    </i>
    <i r="2">
      <x v="550"/>
      <x v="9"/>
      <x v="3"/>
      <x v="2"/>
    </i>
    <i r="2">
      <x v="551"/>
      <x v="9"/>
      <x v="3"/>
      <x v="2"/>
    </i>
    <i r="2">
      <x v="587"/>
      <x v="9"/>
      <x v="3"/>
      <x v="2"/>
    </i>
    <i r="2">
      <x v="588"/>
      <x v="9"/>
      <x v="3"/>
      <x v="2"/>
    </i>
    <i r="2">
      <x v="589"/>
      <x v="9"/>
      <x v="3"/>
      <x v="2"/>
    </i>
    <i r="2">
      <x v="595"/>
      <x v="9"/>
      <x v="3"/>
      <x v="2"/>
    </i>
    <i r="2">
      <x v="596"/>
      <x v="9"/>
      <x v="3"/>
      <x v="2"/>
    </i>
    <i r="2">
      <x v="597"/>
      <x v="9"/>
      <x v="3"/>
      <x v="2"/>
    </i>
    <i r="2">
      <x v="598"/>
      <x v="9"/>
      <x v="3"/>
      <x v="2"/>
    </i>
    <i r="2">
      <x v="599"/>
      <x v="9"/>
      <x v="3"/>
      <x v="2"/>
    </i>
    <i r="2">
      <x v="610"/>
      <x v="9"/>
      <x v="3"/>
      <x v="2"/>
    </i>
    <i r="2">
      <x v="611"/>
      <x v="9"/>
      <x v="3"/>
      <x v="2"/>
    </i>
    <i r="2">
      <x v="612"/>
      <x v="9"/>
      <x v="3"/>
      <x v="2"/>
    </i>
    <i r="2">
      <x v="613"/>
      <x v="9"/>
      <x v="3"/>
      <x v="2"/>
    </i>
    <i r="2">
      <x v="614"/>
      <x v="9"/>
      <x v="3"/>
      <x v="2"/>
    </i>
    <i>
      <x v="3"/>
      <x v="5"/>
      <x v="2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3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4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5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6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66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67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69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71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72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73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74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75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76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77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78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79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80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81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82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83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84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85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86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87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88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505"/>
      <x v="3"/>
      <x v="2"/>
      <x v="4"/>
    </i>
    <i r="2">
      <x v="506"/>
      <x v="3"/>
      <x v="2"/>
      <x v="4"/>
    </i>
    <i r="2">
      <x v="507"/>
      <x v="3"/>
      <x v="2"/>
      <x v="4"/>
    </i>
    <i r="2">
      <x v="508"/>
      <x v="3"/>
      <x v="2"/>
      <x v="4"/>
    </i>
    <i r="2">
      <x v="509"/>
      <x v="3"/>
      <x v="2"/>
      <x v="4"/>
    </i>
    <i r="2">
      <x v="510"/>
      <x v="6"/>
      <x v="2"/>
      <x/>
    </i>
    <i r="5">
      <x v="4"/>
    </i>
    <i r="4">
      <x v="4"/>
      <x/>
    </i>
    <i r="5">
      <x v="4"/>
    </i>
    <i r="2">
      <x v="511"/>
      <x v="6"/>
      <x v="2"/>
      <x/>
    </i>
    <i r="5">
      <x v="4"/>
    </i>
    <i r="4">
      <x v="4"/>
      <x/>
    </i>
    <i r="5">
      <x v="4"/>
    </i>
    <i r="2">
      <x v="512"/>
      <x v="6"/>
      <x v="2"/>
      <x/>
    </i>
    <i r="5">
      <x v="4"/>
    </i>
    <i r="4">
      <x v="4"/>
      <x/>
    </i>
    <i r="5">
      <x v="4"/>
    </i>
    <i r="2">
      <x v="572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573"/>
      <x v="6"/>
      <x v="2"/>
      <x/>
    </i>
    <i r="5">
      <x v="4"/>
    </i>
    <i r="4">
      <x v="4"/>
      <x/>
    </i>
    <i r="5">
      <x v="4"/>
    </i>
    <i r="2">
      <x v="578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579"/>
      <x v="3"/>
      <x v="2"/>
      <x/>
    </i>
    <i r="5">
      <x v="4"/>
    </i>
    <i r="4">
      <x v="4"/>
      <x/>
    </i>
    <i r="5">
      <x v="4"/>
    </i>
    <i r="3">
      <x v="4"/>
      <x v="2"/>
      <x/>
    </i>
    <i r="5">
      <x v="4"/>
    </i>
    <i r="4">
      <x v="4"/>
      <x/>
    </i>
    <i r="5">
      <x v="4"/>
    </i>
    <i r="3">
      <x v="5"/>
      <x v="2"/>
      <x/>
    </i>
    <i r="5">
      <x v="4"/>
    </i>
    <i r="4">
      <x v="4"/>
      <x/>
    </i>
    <i r="5">
      <x v="4"/>
    </i>
    <i r="2">
      <x v="580"/>
      <x v="6"/>
      <x v="2"/>
      <x/>
    </i>
    <i r="5">
      <x v="4"/>
    </i>
    <i r="4">
      <x v="4"/>
      <x/>
    </i>
    <i r="5">
      <x v="4"/>
    </i>
    <i r="2">
      <x v="581"/>
      <x v="6"/>
      <x v="2"/>
      <x/>
    </i>
    <i r="5">
      <x v="4"/>
    </i>
    <i r="4">
      <x v="4"/>
      <x/>
    </i>
    <i r="5">
      <x v="4"/>
    </i>
    <i r="2">
      <x v="615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16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17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18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38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39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40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41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42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43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44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45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46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47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48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49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50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51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52"/>
      <x v="8"/>
      <x v="5"/>
      <x v="9"/>
    </i>
    <i r="5">
      <x v="10"/>
    </i>
    <i r="5">
      <x v="14"/>
    </i>
    <i r="4">
      <x v="6"/>
      <x v="9"/>
    </i>
    <i r="5">
      <x v="10"/>
    </i>
    <i r="5">
      <x v="14"/>
    </i>
    <i r="3">
      <x v="9"/>
      <x v="5"/>
      <x v="9"/>
    </i>
    <i r="5">
      <x v="10"/>
    </i>
    <i r="5">
      <x v="14"/>
    </i>
    <i r="4">
      <x v="6"/>
      <x v="9"/>
    </i>
    <i r="5">
      <x v="10"/>
    </i>
    <i r="5">
      <x v="14"/>
    </i>
    <i r="2">
      <x v="653"/>
      <x v="3"/>
      <x v="2"/>
      <x v="4"/>
    </i>
    <i r="2">
      <x v="654"/>
      <x v="3"/>
      <x v="2"/>
      <x v="4"/>
    </i>
    <i r="2">
      <x v="655"/>
      <x v="3"/>
      <x v="2"/>
      <x v="4"/>
    </i>
    <i r="1">
      <x v="6"/>
      <x v="7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8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9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38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39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43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44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48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49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0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1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2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3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4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5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6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7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8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9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60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61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62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63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64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65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68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70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74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75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76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577"/>
      <x v="6"/>
      <x v="2"/>
      <x/>
    </i>
    <i r="5">
      <x v="4"/>
    </i>
    <i r="4">
      <x v="4"/>
      <x/>
    </i>
    <i r="5">
      <x v="4"/>
    </i>
    <i r="3">
      <x v="7"/>
      <x v="2"/>
      <x/>
    </i>
    <i r="5">
      <x v="4"/>
    </i>
    <i r="4">
      <x v="4"/>
      <x/>
    </i>
    <i r="5">
      <x v="4"/>
    </i>
    <i r="3">
      <x v="9"/>
      <x v="2"/>
      <x/>
    </i>
    <i r="5">
      <x v="4"/>
    </i>
    <i r="4">
      <x v="4"/>
      <x/>
    </i>
    <i r="5">
      <x v="4"/>
    </i>
    <i r="2">
      <x v="619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20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21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22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23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24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25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26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27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28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29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30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31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32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33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34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35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36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2">
      <x v="637"/>
      <x v="8"/>
      <x v="5"/>
      <x v="11"/>
    </i>
    <i r="5">
      <x v="12"/>
    </i>
    <i r="5">
      <x v="13"/>
    </i>
    <i r="4">
      <x v="6"/>
      <x v="11"/>
    </i>
    <i r="5">
      <x v="12"/>
    </i>
    <i r="5">
      <x v="13"/>
    </i>
    <i r="3">
      <x v="9"/>
      <x v="5"/>
      <x v="11"/>
    </i>
    <i r="5">
      <x v="12"/>
    </i>
    <i r="5">
      <x v="13"/>
    </i>
    <i r="4">
      <x v="6"/>
      <x v="11"/>
    </i>
    <i r="5">
      <x v="12"/>
    </i>
    <i r="5">
      <x v="13"/>
    </i>
    <i>
      <x v="5"/>
      <x v="5"/>
      <x v="1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3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3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3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3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3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3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3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3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4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4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4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4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4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4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8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9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9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9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9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9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9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9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9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9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9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0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0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0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0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0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0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0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0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0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0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1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1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1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1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1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1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1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1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1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1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2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2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2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2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2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2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2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2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2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2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3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3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3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3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3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3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3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3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3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3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4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4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4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4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4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4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4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4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4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4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5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5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5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5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5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5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5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5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5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5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6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6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6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6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6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6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6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6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6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6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7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7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7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7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7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7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7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7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7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7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8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8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8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8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8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8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8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8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8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8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9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9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9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9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9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9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9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9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9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19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0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0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0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0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0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0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0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0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0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0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1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1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1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1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1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1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1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1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1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1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2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2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2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2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2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2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2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2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2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2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3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3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3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3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3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3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3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3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3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3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4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4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4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4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4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4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4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4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4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4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5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5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5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5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5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5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5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5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5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5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6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6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6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6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6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6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6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6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6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6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7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7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7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7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7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7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7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7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7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7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8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8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8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8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8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8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8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8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8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89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90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91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92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93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94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95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96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97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2">
      <x v="298"/>
      <x v="5"/>
      <x v="2"/>
      <x v="5"/>
    </i>
    <i r="4">
      <x v="4"/>
      <x v="5"/>
    </i>
    <i r="3">
      <x v="6"/>
      <x v="2"/>
      <x v="5"/>
    </i>
    <i r="4">
      <x v="4"/>
      <x v="5"/>
    </i>
    <i r="3">
      <x v="10"/>
      <x v="2"/>
      <x v="5"/>
    </i>
    <i r="4">
      <x v="4"/>
      <x v="5"/>
    </i>
    <i r="1">
      <x v="6"/>
      <x v="29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0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0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0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0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0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0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0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0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0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0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1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1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1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1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1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1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1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1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1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1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2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2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2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2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2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2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2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2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2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2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3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3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3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3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3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3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3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3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3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3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4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4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4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4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4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4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4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4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4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4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5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5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5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5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5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5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5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5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5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5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6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6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6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6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6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6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6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6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6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6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7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7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7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7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7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7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7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7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7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7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8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8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8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8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8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8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8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8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8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8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9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9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9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9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9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9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9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9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9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39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0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0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0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0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0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0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0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0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0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0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1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1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1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1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1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1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1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1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1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1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2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2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2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2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2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2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2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2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2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2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3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3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3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3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3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3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3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3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3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3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4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4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4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4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4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4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4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4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4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49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50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51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52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53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54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55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56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57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 r="2">
      <x v="458"/>
      <x v="9"/>
      <x v="2"/>
      <x v="5"/>
    </i>
    <i r="4">
      <x v="4"/>
      <x v="5"/>
    </i>
    <i r="3">
      <x v="11"/>
      <x v="2"/>
      <x v="5"/>
    </i>
    <i r="4">
      <x v="4"/>
      <x v="5"/>
    </i>
    <i r="3">
      <x v="12"/>
      <x v="2"/>
      <x v="5"/>
    </i>
    <i r="4">
      <x v="4"/>
      <x v="5"/>
    </i>
    <i>
      <x v="6"/>
      <x v="2"/>
      <x v="459"/>
      <x v="1"/>
      <x v="2"/>
      <x v="6"/>
    </i>
    <i r="4">
      <x v="4"/>
      <x v="6"/>
    </i>
    <i>
      <x v="7"/>
      <x v="3"/>
      <x v="552"/>
      <x v="3"/>
      <x v="2"/>
      <x v="8"/>
    </i>
  </rowItems>
  <colFields count="1">
    <field x="8"/>
  </colFields>
  <colItems count="2">
    <i>
      <x v="1"/>
    </i>
    <i>
      <x v="2"/>
    </i>
  </colItems>
  <dataFields count="1">
    <dataField name="Сумма по полю Значение" fld="11" baseField="0" baseItem="0" numFmtId="166"/>
  </dataFields>
  <formats count="18">
    <format dxfId="17">
      <pivotArea outline="0" collapsedLevelsAreSubtotals="1" fieldPosition="0"/>
    </format>
    <format dxfId="16">
      <pivotArea field="8" type="button" dataOnly="0" labelOnly="1" outline="0" axis="axisCol" fieldPosition="0"/>
    </format>
    <format dxfId="15">
      <pivotArea type="topRight" dataOnly="0" labelOnly="1" outline="0" fieldPosition="0"/>
    </format>
    <format dxfId="14">
      <pivotArea dataOnly="0" labelOnly="1" outline="0" fieldPosition="0">
        <references count="1">
          <reference field="8" count="0"/>
        </references>
      </pivotArea>
    </format>
    <format dxfId="13">
      <pivotArea outline="0" fieldPosition="0">
        <references count="6">
          <reference field="1" count="1" selected="0">
            <x v="3"/>
          </reference>
          <reference field="2" count="1" selected="0">
            <x v="5"/>
          </reference>
          <reference field="4" count="2" selected="0">
            <x v="8"/>
            <x v="9"/>
          </reference>
          <reference field="5" count="2" selected="0">
            <x v="5"/>
            <x v="6"/>
          </reference>
          <reference field="6" count="3" selected="0">
            <x v="9"/>
            <x v="10"/>
            <x v="14"/>
          </reference>
          <reference field="7" count="1" selected="0">
            <x v="615"/>
          </reference>
        </references>
      </pivotArea>
    </format>
    <format dxfId="12">
      <pivotArea dataOnly="0" labelOnly="1" outline="0" fieldPosition="0">
        <references count="6">
          <reference field="1" count="1" selected="0">
            <x v="3"/>
          </reference>
          <reference field="2" count="1" selected="0">
            <x v="5"/>
          </reference>
          <reference field="4" count="1" selected="0">
            <x v="8"/>
          </reference>
          <reference field="5" count="1" selected="0">
            <x v="5"/>
          </reference>
          <reference field="6" count="3">
            <x v="9"/>
            <x v="10"/>
            <x v="14"/>
          </reference>
          <reference field="7" count="1" selected="0">
            <x v="615"/>
          </reference>
        </references>
      </pivotArea>
    </format>
    <format dxfId="11">
      <pivotArea dataOnly="0" labelOnly="1" outline="0" fieldPosition="0">
        <references count="6">
          <reference field="1" count="1" selected="0">
            <x v="3"/>
          </reference>
          <reference field="2" count="1" selected="0">
            <x v="5"/>
          </reference>
          <reference field="4" count="1" selected="0">
            <x v="8"/>
          </reference>
          <reference field="5" count="1" selected="0">
            <x v="6"/>
          </reference>
          <reference field="6" count="3">
            <x v="9"/>
            <x v="10"/>
            <x v="14"/>
          </reference>
          <reference field="7" count="1" selected="0">
            <x v="615"/>
          </reference>
        </references>
      </pivotArea>
    </format>
    <format dxfId="10">
      <pivotArea dataOnly="0" labelOnly="1" outline="0" fieldPosition="0">
        <references count="6">
          <reference field="1" count="1" selected="0">
            <x v="3"/>
          </reference>
          <reference field="2" count="1" selected="0">
            <x v="5"/>
          </reference>
          <reference field="4" count="1" selected="0">
            <x v="9"/>
          </reference>
          <reference field="5" count="1" selected="0">
            <x v="5"/>
          </reference>
          <reference field="6" count="3">
            <x v="9"/>
            <x v="10"/>
            <x v="14"/>
          </reference>
          <reference field="7" count="1" selected="0">
            <x v="615"/>
          </reference>
        </references>
      </pivotArea>
    </format>
    <format dxfId="9">
      <pivotArea dataOnly="0" labelOnly="1" outline="0" fieldPosition="0">
        <references count="6">
          <reference field="1" count="1" selected="0">
            <x v="3"/>
          </reference>
          <reference field="2" count="1" selected="0">
            <x v="5"/>
          </reference>
          <reference field="4" count="1" selected="0">
            <x v="9"/>
          </reference>
          <reference field="5" count="1" selected="0">
            <x v="6"/>
          </reference>
          <reference field="6" count="3">
            <x v="9"/>
            <x v="10"/>
            <x v="14"/>
          </reference>
          <reference field="7" count="1" selected="0">
            <x v="615"/>
          </reference>
        </references>
      </pivotArea>
    </format>
    <format dxfId="8">
      <pivotArea outline="0" fieldPosition="0">
        <references count="6">
          <reference field="1" count="1" selected="0">
            <x v="3"/>
          </reference>
          <reference field="2" count="1" selected="0">
            <x v="6"/>
          </reference>
          <reference field="4" count="1" selected="0">
            <x v="6"/>
          </reference>
          <reference field="5" count="1" selected="0">
            <x v="2"/>
          </reference>
          <reference field="6" count="2" selected="0">
            <x v="0"/>
            <x v="4"/>
          </reference>
          <reference field="7" count="1" selected="0">
            <x v="68"/>
          </reference>
        </references>
      </pivotArea>
    </format>
    <format dxfId="7">
      <pivotArea outline="0" fieldPosition="0">
        <references count="6">
          <reference field="1" count="1" selected="0">
            <x v="3"/>
          </reference>
          <reference field="2" count="1" selected="0">
            <x v="6"/>
          </reference>
          <reference field="4" count="1" selected="0">
            <x v="6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68"/>
          </reference>
        </references>
      </pivotArea>
    </format>
    <format dxfId="6">
      <pivotArea dataOnly="0" labelOnly="1" outline="0" fieldPosition="0">
        <references count="6">
          <reference field="1" count="1" selected="0">
            <x v="3"/>
          </reference>
          <reference field="2" count="1" selected="0">
            <x v="6"/>
          </reference>
          <reference field="4" count="1" selected="0">
            <x v="6"/>
          </reference>
          <reference field="5" count="1" selected="0">
            <x v="2"/>
          </reference>
          <reference field="6" count="2">
            <x v="0"/>
            <x v="4"/>
          </reference>
          <reference field="7" count="1" selected="0">
            <x v="68"/>
          </reference>
        </references>
      </pivotArea>
    </format>
    <format dxfId="5">
      <pivotArea dataOnly="0" labelOnly="1" outline="0" fieldPosition="0">
        <references count="6">
          <reference field="1" count="1" selected="0">
            <x v="3"/>
          </reference>
          <reference field="2" count="1" selected="0">
            <x v="6"/>
          </reference>
          <reference field="4" count="1" selected="0">
            <x v="6"/>
          </reference>
          <reference field="5" count="1" selected="0">
            <x v="4"/>
          </reference>
          <reference field="6" count="1">
            <x v="0"/>
          </reference>
          <reference field="7" count="1" selected="0">
            <x v="68"/>
          </reference>
        </references>
      </pivotArea>
    </format>
    <format dxfId="4">
      <pivotArea outline="0" fieldPosition="0">
        <references count="6">
          <reference field="1" count="1" selected="0">
            <x v="3"/>
          </reference>
          <reference field="2" count="1" selected="0">
            <x v="6"/>
          </reference>
          <reference field="4" count="2" selected="0">
            <x v="8"/>
            <x v="9"/>
          </reference>
          <reference field="5" count="2" selected="0">
            <x v="5"/>
            <x v="6"/>
          </reference>
          <reference field="6" count="3" selected="0">
            <x v="11"/>
            <x v="12"/>
            <x v="13"/>
          </reference>
          <reference field="7" count="1" selected="0">
            <x v="626"/>
          </reference>
        </references>
      </pivotArea>
    </format>
    <format dxfId="3">
      <pivotArea dataOnly="0" labelOnly="1" outline="0" fieldPosition="0">
        <references count="6">
          <reference field="1" count="1" selected="0">
            <x v="3"/>
          </reference>
          <reference field="2" count="1" selected="0">
            <x v="6"/>
          </reference>
          <reference field="4" count="1" selected="0">
            <x v="8"/>
          </reference>
          <reference field="5" count="1" selected="0">
            <x v="5"/>
          </reference>
          <reference field="6" count="3">
            <x v="11"/>
            <x v="12"/>
            <x v="13"/>
          </reference>
          <reference field="7" count="1" selected="0">
            <x v="626"/>
          </reference>
        </references>
      </pivotArea>
    </format>
    <format dxfId="2">
      <pivotArea dataOnly="0" labelOnly="1" outline="0" fieldPosition="0">
        <references count="6">
          <reference field="1" count="1" selected="0">
            <x v="3"/>
          </reference>
          <reference field="2" count="1" selected="0">
            <x v="6"/>
          </reference>
          <reference field="4" count="1" selected="0">
            <x v="8"/>
          </reference>
          <reference field="5" count="1" selected="0">
            <x v="6"/>
          </reference>
          <reference field="6" count="3">
            <x v="11"/>
            <x v="12"/>
            <x v="13"/>
          </reference>
          <reference field="7" count="1" selected="0">
            <x v="626"/>
          </reference>
        </references>
      </pivotArea>
    </format>
    <format dxfId="1">
      <pivotArea dataOnly="0" labelOnly="1" outline="0" fieldPosition="0">
        <references count="6">
          <reference field="1" count="1" selected="0">
            <x v="3"/>
          </reference>
          <reference field="2" count="1" selected="0">
            <x v="6"/>
          </reference>
          <reference field="4" count="1" selected="0">
            <x v="9"/>
          </reference>
          <reference field="5" count="1" selected="0">
            <x v="5"/>
          </reference>
          <reference field="6" count="3">
            <x v="11"/>
            <x v="12"/>
            <x v="13"/>
          </reference>
          <reference field="7" count="1" selected="0">
            <x v="626"/>
          </reference>
        </references>
      </pivotArea>
    </format>
    <format dxfId="0">
      <pivotArea dataOnly="0" labelOnly="1" outline="0" fieldPosition="0">
        <references count="6">
          <reference field="1" count="1" selected="0">
            <x v="3"/>
          </reference>
          <reference field="2" count="1" selected="0">
            <x v="6"/>
          </reference>
          <reference field="4" count="1" selected="0">
            <x v="9"/>
          </reference>
          <reference field="5" count="1" selected="0">
            <x v="6"/>
          </reference>
          <reference field="6" count="3">
            <x v="11"/>
            <x v="12"/>
            <x v="13"/>
          </reference>
          <reference field="7" count="1" selected="0">
            <x v="6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87CAD8-D414-417A-94BC-D2E5EB45FBE8}" name="Сводная таблица5" cacheId="127" applyNumberFormats="0" applyBorderFormats="0" applyFontFormats="0" applyPatternFormats="0" applyAlignmentFormats="0" applyWidthHeightFormats="1" dataCaption="Значения" updatedVersion="7" minRefreshableVersion="3" useAutoFormatting="1" rowGrandTotals="0" colGrandTotals="0" itemPrintTitles="1" createdVersion="7" indent="0" compact="0" compactData="0" multipleFieldFilters="0" fieldListSortAscending="1">
  <location ref="K3:R32" firstHeaderRow="1" firstDataRow="2" firstDataCol="5"/>
  <pivotFields count="8">
    <pivotField axis="axisCol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6"/>
        <item x="1"/>
        <item x="2"/>
        <item x="3"/>
        <item x="4"/>
        <item x="5"/>
        <item m="1" x="14"/>
        <item m="1" x="10"/>
        <item m="1" x="15"/>
        <item m="1" x="11"/>
        <item m="1" x="13"/>
        <item m="1" x="12"/>
        <item x="7"/>
        <item x="8"/>
        <item x="0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2"/>
        <item x="3"/>
        <item x="5"/>
        <item x="4"/>
        <item x="1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2"/>
        <item x="0"/>
        <item x="3"/>
        <item m="1" x="6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6">
        <item x="1"/>
        <item x="0"/>
        <item x="2"/>
        <item m="1" x="5"/>
        <item m="1" x="4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5"/>
    <field x="1"/>
    <field x="4"/>
    <field x="2"/>
    <field x="3"/>
  </rowFields>
  <rowItems count="28">
    <i>
      <x/>
      <x/>
      <x v="3"/>
      <x v="3"/>
      <x v="1"/>
    </i>
    <i r="1">
      <x v="1"/>
      <x/>
      <x v="1"/>
      <x/>
    </i>
    <i r="3">
      <x v="2"/>
      <x/>
    </i>
    <i r="3">
      <x v="3"/>
      <x/>
    </i>
    <i r="3">
      <x v="4"/>
      <x/>
    </i>
    <i r="1">
      <x v="2"/>
      <x/>
      <x v="4"/>
      <x v="3"/>
    </i>
    <i r="3">
      <x v="12"/>
      <x v="3"/>
    </i>
    <i r="3">
      <x v="13"/>
      <x v="3"/>
    </i>
    <i r="1">
      <x v="4"/>
      <x v="3"/>
      <x v="1"/>
      <x/>
    </i>
    <i r="4">
      <x v="1"/>
    </i>
    <i r="3">
      <x v="2"/>
      <x/>
    </i>
    <i r="4">
      <x v="1"/>
    </i>
    <i r="3">
      <x v="3"/>
      <x/>
    </i>
    <i r="3">
      <x v="4"/>
      <x/>
    </i>
    <i r="4">
      <x v="1"/>
    </i>
    <i r="3">
      <x v="13"/>
      <x v="1"/>
    </i>
    <i>
      <x v="1"/>
      <x v="1"/>
      <x v="1"/>
      <x/>
      <x v="1"/>
    </i>
    <i r="2">
      <x v="2"/>
      <x/>
      <x v="1"/>
    </i>
    <i r="1">
      <x v="3"/>
      <x v="1"/>
      <x v="14"/>
      <x/>
    </i>
    <i r="4">
      <x v="1"/>
    </i>
    <i r="2">
      <x v="2"/>
      <x v="14"/>
      <x/>
    </i>
    <i r="4">
      <x v="1"/>
    </i>
    <i r="2">
      <x v="5"/>
      <x v="14"/>
      <x v="5"/>
    </i>
    <i>
      <x v="2"/>
      <x v="1"/>
      <x/>
      <x v="5"/>
      <x v="2"/>
    </i>
    <i r="2">
      <x v="6"/>
      <x v="15"/>
      <x v="6"/>
    </i>
    <i r="1">
      <x v="2"/>
      <x/>
      <x v="4"/>
      <x v="4"/>
    </i>
    <i r="3">
      <x v="12"/>
      <x v="4"/>
    </i>
    <i r="3">
      <x v="13"/>
      <x v="4"/>
    </i>
  </rowItems>
  <colFields count="1">
    <field x="0"/>
  </colFields>
  <colItems count="3">
    <i>
      <x/>
    </i>
    <i>
      <x v="1"/>
    </i>
    <i>
      <x v="2"/>
    </i>
  </colItems>
  <dataFields count="1">
    <dataField name="Сумма по полю Значение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FBF852-48CC-4B01-9A9C-C2859D42EE64}" name="Сводная таблица17" cacheId="130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 fieldListSortAscending="1">
  <location ref="Y18:AB35" firstHeaderRow="1" firstDataRow="1" firstDataCol="3"/>
  <pivotFields count="16">
    <pivotField axis="axisRow" outline="0" showAll="0" defaultSubtotal="0">
      <items count="16">
        <item x="8"/>
        <item x="9"/>
        <item x="15"/>
        <item x="10"/>
        <item x="11"/>
        <item x="12"/>
        <item x="13"/>
        <item x="0"/>
        <item x="1"/>
        <item x="2"/>
        <item x="3"/>
        <item x="4"/>
        <item x="5"/>
        <item x="6"/>
        <item x="7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0">
        <item x="2"/>
        <item x="3"/>
        <item x="9"/>
        <item x="4"/>
        <item x="5"/>
        <item x="6"/>
        <item x="7"/>
        <item x="0"/>
        <item x="1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showAll="0">
      <items count="11">
        <item x="6"/>
        <item x="5"/>
        <item x="7"/>
        <item x="2"/>
        <item x="3"/>
        <item x="9"/>
        <item x="4"/>
        <item x="0"/>
        <item x="1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3">
    <field x="0"/>
    <field x="1"/>
    <field x="3"/>
  </rowFields>
  <rowItems count="17">
    <i>
      <x/>
      <x/>
      <x v="3"/>
    </i>
    <i>
      <x v="1"/>
      <x v="1"/>
      <x v="4"/>
    </i>
    <i>
      <x v="2"/>
      <x v="2"/>
      <x v="5"/>
    </i>
    <i>
      <x v="3"/>
      <x v="3"/>
      <x v="6"/>
    </i>
    <i>
      <x v="4"/>
      <x v="4"/>
      <x v="1"/>
    </i>
    <i>
      <x v="5"/>
      <x v="5"/>
      <x/>
    </i>
    <i>
      <x v="6"/>
      <x v="6"/>
      <x v="2"/>
    </i>
    <i>
      <x v="7"/>
      <x v="7"/>
      <x v="7"/>
    </i>
    <i>
      <x v="8"/>
      <x v="7"/>
      <x v="7"/>
    </i>
    <i>
      <x v="9"/>
      <x v="7"/>
      <x v="7"/>
    </i>
    <i>
      <x v="10"/>
      <x v="7"/>
      <x v="7"/>
    </i>
    <i>
      <x v="11"/>
      <x v="8"/>
      <x v="8"/>
    </i>
    <i>
      <x v="12"/>
      <x v="8"/>
      <x v="8"/>
    </i>
    <i>
      <x v="13"/>
      <x v="8"/>
      <x v="8"/>
    </i>
    <i>
      <x v="14"/>
      <x v="8"/>
      <x v="8"/>
    </i>
    <i>
      <x v="15"/>
      <x v="9"/>
      <x v="9"/>
    </i>
    <i t="grand">
      <x/>
    </i>
  </rowItems>
  <colItems count="1">
    <i/>
  </colItems>
  <dataFields count="1">
    <dataField name="Сумма по полю Значение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B23DD6-E6F5-4B5F-AF9F-E18B76417CBB}" name="Сводная таблица6" cacheId="129" applyNumberFormats="0" applyBorderFormats="0" applyFontFormats="0" applyPatternFormats="0" applyAlignmentFormats="0" applyWidthHeightFormats="1" dataCaption="Значения" updatedVersion="7" minRefreshableVersion="3" useAutoFormatting="1" rowGrandTotals="0" colGrandTotals="0" itemPrintTitles="1" createdVersion="7" indent="0" compact="0" compactData="0" multipleFieldFilters="0" fieldListSortAscending="1">
  <location ref="AV6:BA28" firstHeaderRow="1" firstDataRow="2" firstDataCol="4"/>
  <pivotFields count="15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0">
        <item m="1" x="25"/>
        <item x="8"/>
        <item x="7"/>
        <item x="11"/>
        <item x="19"/>
        <item x="4"/>
        <item x="12"/>
        <item x="6"/>
        <item x="5"/>
        <item x="14"/>
        <item m="1" x="27"/>
        <item m="1" x="24"/>
        <item m="1" x="26"/>
        <item m="1" x="28"/>
        <item m="1" x="23"/>
        <item m="1" x="29"/>
        <item m="1" x="22"/>
        <item x="2"/>
        <item m="1" x="21"/>
        <item x="18"/>
        <item x="17"/>
        <item x="13"/>
        <item x="15"/>
        <item x="0"/>
        <item x="3"/>
        <item x="1"/>
        <item x="20"/>
        <item x="9"/>
        <item x="10"/>
        <item x="16"/>
      </items>
    </pivotField>
    <pivotField axis="axisCol" compact="0" outline="0" showAll="0" defaultSubtotal="0">
      <items count="2">
        <item x="1"/>
        <item x="0"/>
      </items>
    </pivotField>
    <pivotField compact="0" outline="0" showAll="0" defaultSubtotal="0"/>
    <pivotField axis="axisRow" compact="0" outline="0" showAll="0" defaultSubtotal="0">
      <items count="9">
        <item x="4"/>
        <item x="1"/>
        <item x="0"/>
        <item x="2"/>
        <item x="6"/>
        <item x="3"/>
        <item x="5"/>
        <item x="8"/>
        <item x="7"/>
      </items>
    </pivotField>
    <pivotField axis="axisRow" compact="0" outline="0" showAll="0" defaultSubtotal="0">
      <items count="7">
        <item x="1"/>
        <item x="5"/>
        <item x="4"/>
        <item x="2"/>
        <item x="6"/>
        <item x="0"/>
        <item x="3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3"/>
    <field x="8"/>
    <field x="7"/>
    <field x="6"/>
  </rowFields>
  <rowItems count="21">
    <i>
      <x v="1"/>
      <x/>
      <x v="3"/>
      <x/>
    </i>
    <i>
      <x v="2"/>
      <x/>
      <x v="3"/>
      <x v="5"/>
    </i>
    <i>
      <x v="3"/>
      <x/>
      <x v="3"/>
      <x v="6"/>
    </i>
    <i>
      <x v="4"/>
      <x/>
      <x v="5"/>
      <x/>
    </i>
    <i>
      <x v="5"/>
      <x/>
      <x v="5"/>
      <x v="5"/>
    </i>
    <i>
      <x v="6"/>
      <x/>
      <x v="3"/>
      <x v="6"/>
    </i>
    <i>
      <x v="7"/>
      <x/>
      <x v="6"/>
      <x/>
    </i>
    <i>
      <x v="8"/>
      <x/>
      <x v="3"/>
      <x v="5"/>
    </i>
    <i>
      <x v="9"/>
      <x/>
      <x v="3"/>
      <x v="6"/>
    </i>
    <i>
      <x v="17"/>
      <x/>
      <x/>
      <x v="3"/>
    </i>
    <i>
      <x v="19"/>
      <x v="1"/>
      <x v="5"/>
      <x v="5"/>
    </i>
    <i>
      <x v="20"/>
      <x/>
      <x v="1"/>
      <x v="8"/>
    </i>
    <i>
      <x v="21"/>
      <x/>
      <x v="2"/>
      <x v="6"/>
    </i>
    <i>
      <x v="22"/>
      <x/>
      <x v="1"/>
      <x v="4"/>
    </i>
    <i>
      <x v="23"/>
      <x/>
      <x v="5"/>
      <x v="2"/>
    </i>
    <i>
      <x v="24"/>
      <x/>
      <x v="5"/>
      <x v="1"/>
    </i>
    <i>
      <x v="25"/>
      <x/>
      <x v="5"/>
      <x v="1"/>
    </i>
    <i>
      <x v="26"/>
      <x/>
      <x v="4"/>
      <x v="7"/>
    </i>
    <i>
      <x v="27"/>
      <x/>
      <x v="2"/>
      <x v="5"/>
    </i>
    <i>
      <x v="28"/>
      <x/>
      <x v="2"/>
      <x/>
    </i>
    <i>
      <x v="29"/>
      <x/>
      <x v="5"/>
      <x v="1"/>
    </i>
  </rowItems>
  <colFields count="1">
    <field x="4"/>
  </colFields>
  <colItems count="2">
    <i>
      <x/>
    </i>
    <i>
      <x v="1"/>
    </i>
  </colItems>
  <dataFields count="1">
    <dataField name="Сумма по полю Значение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F109CC-2562-4DC5-BBAD-92E0398F376C}" name="Сводная таблица3" cacheId="123" applyNumberFormats="0" applyBorderFormats="0" applyFontFormats="0" applyPatternFormats="0" applyAlignmentFormats="0" applyWidthHeightFormats="1" dataCaption="Значения" updatedVersion="7" minRefreshableVersion="3" useAutoFormatting="1" rowGrandTotals="0" colGrandTotals="0" itemPrintTitles="1" createdVersion="7" indent="0" compact="0" compactData="0" multipleFieldFilters="0" fieldListSortAscending="1">
  <location ref="J2:AF56" firstHeaderRow="1" firstDataRow="3" firstDataCol="5"/>
  <pivotFields count="9">
    <pivotField axis="axisRow" compact="0" outline="0" subtotalTop="0" showAll="0" defaultSubtotal="0">
      <items count="66">
        <item x="8"/>
        <item m="1" x="53"/>
        <item m="1" x="59"/>
        <item m="1" x="54"/>
        <item m="1" x="60"/>
        <item m="1" x="55"/>
        <item m="1" x="61"/>
        <item m="1" x="56"/>
        <item m="1" x="62"/>
        <item x="39"/>
        <item x="40"/>
        <item m="1" x="57"/>
        <item m="1" x="65"/>
        <item m="1" x="64"/>
        <item m="1" x="52"/>
        <item x="50"/>
        <item x="51"/>
        <item x="9"/>
        <item x="10"/>
        <item m="1" x="63"/>
        <item x="47"/>
        <item x="42"/>
        <item x="43"/>
        <item x="44"/>
        <item x="45"/>
        <item x="46"/>
        <item m="1" x="58"/>
        <item x="19"/>
        <item x="20"/>
        <item x="21"/>
        <item x="22"/>
        <item x="23"/>
        <item x="16"/>
        <item x="17"/>
        <item x="18"/>
        <item x="29"/>
        <item x="49"/>
        <item x="0"/>
        <item x="1"/>
        <item x="7"/>
        <item x="2"/>
        <item x="3"/>
        <item x="4"/>
        <item x="5"/>
        <item x="6"/>
        <item x="48"/>
        <item x="36"/>
        <item x="37"/>
        <item x="38"/>
        <item x="41"/>
        <item x="11"/>
        <item x="12"/>
        <item x="13"/>
        <item x="26"/>
        <item x="27"/>
        <item x="28"/>
        <item x="15"/>
        <item x="24"/>
        <item x="25"/>
        <item x="14"/>
        <item x="34"/>
        <item x="31"/>
        <item x="33"/>
        <item x="35"/>
        <item x="32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7">
        <item x="1"/>
        <item x="2"/>
        <item m="1" x="6"/>
        <item m="1" x="5"/>
        <item x="4"/>
        <item x="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5"/>
        <item x="1"/>
        <item x="0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m="1" x="15"/>
        <item x="6"/>
        <item x="3"/>
        <item x="7"/>
        <item x="2"/>
        <item x="0"/>
        <item x="1"/>
        <item x="4"/>
        <item x="14"/>
        <item x="8"/>
        <item x="5"/>
        <item x="12"/>
        <item x="9"/>
        <item x="11"/>
        <item x="13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9">
        <item x="5"/>
        <item x="7"/>
        <item x="0"/>
        <item x="8"/>
        <item x="2"/>
        <item x="1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2"/>
        <item m="1" x="4"/>
        <item x="3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2"/>
        <item m="1" x="5"/>
        <item x="1"/>
        <item m="1" x="6"/>
        <item m="1" x="7"/>
        <item x="4"/>
        <item x="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2"/>
    <field x="0"/>
    <field x="6"/>
    <field x="5"/>
    <field x="3"/>
  </rowFields>
  <rowItems count="52">
    <i>
      <x/>
      <x v="29"/>
      <x/>
      <x v="3"/>
      <x v="3"/>
    </i>
    <i>
      <x v="1"/>
      <x/>
      <x v="2"/>
      <x v="1"/>
      <x v="4"/>
    </i>
    <i r="1">
      <x v="9"/>
      <x v="5"/>
      <x v="4"/>
      <x v="6"/>
    </i>
    <i r="1">
      <x v="10"/>
      <x v="5"/>
      <x v="4"/>
      <x v="4"/>
    </i>
    <i r="1">
      <x v="15"/>
      <x v="5"/>
      <x v="4"/>
      <x v="4"/>
    </i>
    <i r="1">
      <x v="16"/>
      <x v="5"/>
      <x v="4"/>
      <x v="4"/>
    </i>
    <i r="1">
      <x v="17"/>
      <x v="2"/>
      <x v="1"/>
      <x v="2"/>
    </i>
    <i r="1">
      <x v="18"/>
      <x v="2"/>
      <x v="1"/>
      <x v="7"/>
    </i>
    <i r="1">
      <x v="20"/>
      <x v="5"/>
      <x v="4"/>
      <x v="2"/>
    </i>
    <i r="1">
      <x v="21"/>
      <x v="5"/>
      <x v="4"/>
      <x v="7"/>
    </i>
    <i r="1">
      <x v="22"/>
      <x v="5"/>
      <x v="4"/>
      <x v="7"/>
    </i>
    <i r="1">
      <x v="23"/>
      <x v="5"/>
      <x v="4"/>
      <x v="2"/>
    </i>
    <i r="1">
      <x v="24"/>
      <x v="5"/>
      <x v="4"/>
      <x v="2"/>
    </i>
    <i r="1">
      <x v="25"/>
      <x v="5"/>
      <x v="4"/>
      <x v="7"/>
    </i>
    <i r="1">
      <x v="36"/>
      <x v="5"/>
      <x v="4"/>
      <x v="2"/>
    </i>
    <i r="1">
      <x v="45"/>
      <x v="5"/>
      <x v="4"/>
      <x v="8"/>
    </i>
    <i r="1">
      <x v="46"/>
      <x v="5"/>
      <x v="4"/>
      <x v="9"/>
    </i>
    <i r="1">
      <x v="47"/>
      <x v="5"/>
      <x v="4"/>
      <x v="9"/>
    </i>
    <i r="1">
      <x v="48"/>
      <x v="5"/>
      <x v="4"/>
      <x v="9"/>
    </i>
    <i r="1">
      <x v="49"/>
      <x v="5"/>
      <x v="4"/>
      <x v="4"/>
    </i>
    <i>
      <x v="2"/>
      <x v="37"/>
      <x v="6"/>
      <x/>
      <x v="5"/>
    </i>
    <i r="1">
      <x v="38"/>
      <x v="6"/>
      <x/>
      <x v="5"/>
    </i>
    <i r="1">
      <x v="39"/>
      <x v="6"/>
      <x/>
      <x v="5"/>
    </i>
    <i r="1">
      <x v="40"/>
      <x v="6"/>
      <x/>
      <x v="5"/>
    </i>
    <i r="1">
      <x v="41"/>
      <x v="6"/>
      <x/>
      <x v="5"/>
    </i>
    <i r="1">
      <x v="42"/>
      <x v="6"/>
      <x/>
      <x v="5"/>
    </i>
    <i r="1">
      <x v="43"/>
      <x v="6"/>
      <x/>
      <x v="5"/>
    </i>
    <i r="1">
      <x v="44"/>
      <x v="6"/>
      <x v="4"/>
      <x v="6"/>
    </i>
    <i>
      <x v="3"/>
      <x v="50"/>
      <x v="2"/>
      <x/>
      <x v="4"/>
    </i>
    <i r="1">
      <x v="51"/>
      <x v="2"/>
      <x/>
      <x v="10"/>
    </i>
    <i r="1">
      <x v="52"/>
      <x v="2"/>
      <x/>
      <x v="7"/>
    </i>
    <i r="1">
      <x v="56"/>
      <x/>
      <x/>
      <x v="4"/>
    </i>
    <i r="1">
      <x v="57"/>
      <x/>
      <x/>
      <x v="10"/>
    </i>
    <i r="1">
      <x v="58"/>
      <x/>
      <x/>
      <x v="7"/>
    </i>
    <i>
      <x v="4"/>
      <x v="53"/>
      <x/>
      <x/>
      <x v="3"/>
    </i>
    <i r="1">
      <x v="54"/>
      <x/>
      <x/>
      <x v="4"/>
    </i>
    <i r="1">
      <x v="55"/>
      <x/>
      <x/>
      <x v="1"/>
    </i>
    <i r="1">
      <x v="59"/>
      <x/>
      <x/>
      <x v="2"/>
    </i>
    <i r="1">
      <x v="60"/>
      <x v="7"/>
      <x v="4"/>
      <x v="11"/>
    </i>
    <i r="1">
      <x v="61"/>
      <x v="7"/>
      <x v="4"/>
      <x v="12"/>
    </i>
    <i r="1">
      <x v="62"/>
      <x v="7"/>
      <x v="4"/>
      <x v="13"/>
    </i>
    <i r="1">
      <x v="63"/>
      <x v="7"/>
      <x v="4"/>
      <x v="14"/>
    </i>
    <i r="1">
      <x v="64"/>
      <x v="7"/>
      <x v="4"/>
      <x v="15"/>
    </i>
    <i r="1">
      <x v="65"/>
      <x v="7"/>
      <x v="4"/>
      <x v="9"/>
    </i>
    <i>
      <x v="5"/>
      <x v="27"/>
      <x/>
      <x v="3"/>
      <x v="2"/>
    </i>
    <i r="1">
      <x v="28"/>
      <x/>
      <x v="3"/>
      <x v="3"/>
    </i>
    <i r="1">
      <x v="30"/>
      <x/>
      <x v="3"/>
      <x v="4"/>
    </i>
    <i r="1">
      <x v="31"/>
      <x/>
      <x v="3"/>
      <x v="4"/>
    </i>
    <i r="1">
      <x v="32"/>
      <x/>
      <x v="3"/>
      <x v="1"/>
    </i>
    <i r="1">
      <x v="33"/>
      <x/>
      <x v="3"/>
      <x v="1"/>
    </i>
    <i r="1">
      <x v="34"/>
      <x/>
      <x v="3"/>
      <x v="2"/>
    </i>
    <i r="1">
      <x v="35"/>
      <x/>
      <x v="3"/>
      <x v="7"/>
    </i>
  </rowItems>
  <colFields count="2">
    <field x="1"/>
    <field x="4"/>
  </colFields>
  <colItems count="18">
    <i>
      <x/>
      <x/>
    </i>
    <i r="1">
      <x v="1"/>
    </i>
    <i r="1">
      <x v="4"/>
    </i>
    <i r="1">
      <x v="6"/>
    </i>
    <i r="1">
      <x v="7"/>
    </i>
    <i r="1">
      <x v="8"/>
    </i>
    <i>
      <x v="1"/>
      <x/>
    </i>
    <i r="1">
      <x v="1"/>
    </i>
    <i r="1">
      <x v="4"/>
    </i>
    <i r="1">
      <x v="6"/>
    </i>
    <i r="1">
      <x v="7"/>
    </i>
    <i r="1">
      <x v="8"/>
    </i>
    <i>
      <x v="4"/>
      <x v="3"/>
    </i>
    <i r="1">
      <x v="5"/>
    </i>
    <i>
      <x v="5"/>
      <x v="2"/>
    </i>
    <i r="1">
      <x v="3"/>
    </i>
    <i r="1">
      <x v="5"/>
    </i>
    <i>
      <x v="6"/>
      <x v="5"/>
    </i>
  </colItems>
  <dataFields count="1">
    <dataField name="Сумма по полю Значение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3E9CE9-4A1A-4592-BB9F-5DCCD16697CE}" name="Сводная таблица1" cacheId="122" applyNumberFormats="0" applyBorderFormats="0" applyFontFormats="0" applyPatternFormats="0" applyAlignmentFormats="0" applyWidthHeightFormats="1" dataCaption="Значения" updatedVersion="7" minRefreshableVersion="3" useAutoFormatting="1" rowGrandTotals="0" colGrandTotals="0" itemPrintTitles="1" createdVersion="7" indent="0" compact="0" compactData="0" multipleFieldFilters="0" fieldListSortAscending="1">
  <location ref="A2:G21" firstHeaderRow="1" firstDataRow="2" firstDataCol="5"/>
  <pivotFields count="12">
    <pivotField compact="0" outline="0" showAll="0" defaultSubtotal="0"/>
    <pivotField axis="axisRow" compact="0" outline="0" showAll="0" defaultSubtotal="0">
      <items count="6">
        <item m="1" x="3"/>
        <item m="1" x="1"/>
        <item m="1" x="5"/>
        <item m="1" x="4"/>
        <item m="1" x="2"/>
        <item x="0"/>
      </items>
    </pivotField>
    <pivotField axis="axisRow" compact="0" outline="0" showAll="0" defaultSubtotal="0">
      <items count="5">
        <item m="1" x="3"/>
        <item m="1" x="4"/>
        <item x="0"/>
        <item x="1"/>
        <item x="2"/>
      </items>
    </pivotField>
    <pivotField axis="axisCol" compact="0" outline="0" showAll="0" defaultSubtotal="0">
      <items count="2">
        <item x="0"/>
        <item x="1"/>
      </items>
    </pivotField>
    <pivotField axis="axisRow" compact="0" outline="0" showAll="0" defaultSubtotal="0">
      <items count="11">
        <item x="1"/>
        <item m="1" x="10"/>
        <item x="2"/>
        <item x="0"/>
        <item m="1" x="7"/>
        <item m="1" x="8"/>
        <item m="1" x="9"/>
        <item m="1" x="4"/>
        <item m="1" x="3"/>
        <item m="1" x="5"/>
        <item m="1" x="6"/>
      </items>
    </pivotField>
    <pivotField axis="axisRow" compact="0" outline="0" showAll="0" defaultSubtotal="0">
      <items count="6">
        <item m="1" x="1"/>
        <item m="1" x="4"/>
        <item x="0"/>
        <item m="1" x="5"/>
        <item m="1" x="3"/>
        <item m="1" x="2"/>
      </items>
    </pivotField>
    <pivotField compact="0" outline="0" showAll="0" defaultSubtotal="0"/>
    <pivotField axis="axisRow" compact="0" outline="0" showAll="0" defaultSubtotal="0">
      <items count="17">
        <item m="1" x="14"/>
        <item m="1" x="15"/>
        <item m="1" x="11"/>
        <item m="1" x="12"/>
        <item x="10"/>
        <item x="0"/>
        <item m="1" x="16"/>
        <item m="1" x="13"/>
        <item x="6"/>
        <item x="4"/>
        <item x="1"/>
        <item x="5"/>
        <item x="2"/>
        <item x="3"/>
        <item x="7"/>
        <item x="8"/>
        <item x="9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5">
    <field x="1"/>
    <field x="2"/>
    <field x="7"/>
    <field x="4"/>
    <field x="5"/>
  </rowFields>
  <rowItems count="18">
    <i>
      <x v="5"/>
      <x v="2"/>
      <x v="5"/>
      <x/>
      <x v="2"/>
    </i>
    <i r="3">
      <x v="2"/>
      <x v="2"/>
    </i>
    <i r="3">
      <x v="3"/>
      <x v="2"/>
    </i>
    <i r="2">
      <x v="12"/>
      <x/>
      <x v="2"/>
    </i>
    <i r="3">
      <x v="2"/>
      <x v="2"/>
    </i>
    <i r="2">
      <x v="13"/>
      <x/>
      <x v="2"/>
    </i>
    <i r="3">
      <x v="2"/>
      <x v="2"/>
    </i>
    <i r="1">
      <x v="3"/>
      <x v="8"/>
      <x/>
      <x v="2"/>
    </i>
    <i r="3">
      <x v="2"/>
      <x v="2"/>
    </i>
    <i r="2">
      <x v="9"/>
      <x/>
      <x v="2"/>
    </i>
    <i r="3">
      <x v="2"/>
      <x v="2"/>
    </i>
    <i r="2">
      <x v="10"/>
      <x/>
      <x v="2"/>
    </i>
    <i r="3">
      <x v="2"/>
      <x v="2"/>
    </i>
    <i r="2">
      <x v="11"/>
      <x/>
      <x v="2"/>
    </i>
    <i r="2">
      <x v="14"/>
      <x/>
      <x v="2"/>
    </i>
    <i r="1">
      <x v="4"/>
      <x v="4"/>
      <x v="3"/>
      <x v="2"/>
    </i>
    <i r="2">
      <x v="15"/>
      <x v="2"/>
      <x v="2"/>
    </i>
    <i r="2">
      <x v="16"/>
      <x v="2"/>
      <x v="2"/>
    </i>
  </rowItems>
  <colFields count="1">
    <field x="3"/>
  </colFields>
  <colItems count="2">
    <i>
      <x/>
    </i>
    <i>
      <x v="1"/>
    </i>
  </colItems>
  <dataFields count="1">
    <dataField name="Сумма по полю Значение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C71E4-8577-4A50-B59F-D0F96C61D5C3}">
  <sheetPr codeName="Лист1">
    <pageSetUpPr fitToPage="1"/>
  </sheetPr>
  <dimension ref="A1:J61"/>
  <sheetViews>
    <sheetView showGridLines="0" tabSelected="1" zoomScaleNormal="100" zoomScaleSheetLayoutView="40" workbookViewId="0">
      <pane xSplit="1" ySplit="6" topLeftCell="B7" activePane="bottomRight" state="frozen"/>
      <selection activeCell="K21" sqref="K21"/>
      <selection pane="topRight" activeCell="K21" sqref="K21"/>
      <selection pane="bottomLeft" activeCell="K21" sqref="K21"/>
      <selection pane="bottomRight" activeCell="N19" sqref="N19"/>
    </sheetView>
  </sheetViews>
  <sheetFormatPr defaultColWidth="9.109375" defaultRowHeight="14.4" customHeight="1" x14ac:dyDescent="0.3"/>
  <cols>
    <col min="1" max="1" width="9" customWidth="1"/>
    <col min="2" max="2" width="17.6640625" customWidth="1"/>
    <col min="3" max="3" width="13.44140625" customWidth="1"/>
    <col min="4" max="4" width="18.88671875" customWidth="1"/>
    <col min="5" max="5" width="14.44140625" customWidth="1"/>
    <col min="6" max="6" width="12" customWidth="1"/>
    <col min="7" max="7" width="12.6640625" customWidth="1"/>
    <col min="8" max="8" width="20.88671875" customWidth="1"/>
    <col min="9" max="9" width="17.5546875" customWidth="1"/>
    <col min="10" max="10" width="20.6640625" customWidth="1"/>
    <col min="11" max="20" width="9.109375" customWidth="1"/>
  </cols>
  <sheetData>
    <row r="1" spans="1:10" ht="15" customHeight="1" x14ac:dyDescent="0.3">
      <c r="A1" s="352"/>
      <c r="B1" s="303" t="s">
        <v>780</v>
      </c>
      <c r="C1" s="404" t="s">
        <v>81</v>
      </c>
      <c r="D1" s="404"/>
      <c r="E1" s="404"/>
      <c r="F1" s="404"/>
      <c r="G1" s="355" t="s">
        <v>782</v>
      </c>
      <c r="H1" s="402"/>
    </row>
    <row r="2" spans="1:10" ht="15" customHeight="1" x14ac:dyDescent="0.3">
      <c r="A2" s="353"/>
      <c r="B2" s="72" t="s">
        <v>52</v>
      </c>
      <c r="C2" s="351" t="s">
        <v>101</v>
      </c>
      <c r="D2" s="351"/>
      <c r="E2" s="71"/>
      <c r="F2" s="42"/>
      <c r="G2" s="355"/>
      <c r="H2" s="402"/>
    </row>
    <row r="3" spans="1:10" ht="15" customHeight="1" x14ac:dyDescent="0.3">
      <c r="A3" s="353"/>
      <c r="B3" s="41"/>
      <c r="C3" s="351"/>
      <c r="D3" s="351"/>
      <c r="E3" s="40" t="s">
        <v>25</v>
      </c>
      <c r="F3" s="39">
        <v>45581</v>
      </c>
      <c r="G3" s="355" t="s">
        <v>783</v>
      </c>
      <c r="H3" s="403"/>
    </row>
    <row r="4" spans="1:10" ht="12.75" customHeight="1" thickBot="1" x14ac:dyDescent="0.35">
      <c r="A4" s="354"/>
      <c r="B4" s="41"/>
      <c r="C4" s="70"/>
      <c r="D4" s="40"/>
      <c r="E4" s="40"/>
      <c r="F4" s="69"/>
      <c r="G4" s="727"/>
      <c r="H4" s="549"/>
    </row>
    <row r="5" spans="1:10" ht="14.25" customHeight="1" thickBot="1" x14ac:dyDescent="0.35">
      <c r="A5" s="367" t="s">
        <v>24</v>
      </c>
      <c r="B5" s="369" t="s">
        <v>23</v>
      </c>
      <c r="C5" s="370"/>
      <c r="D5" s="396" t="s">
        <v>22</v>
      </c>
      <c r="E5" s="373" t="s">
        <v>21</v>
      </c>
      <c r="F5" s="868" t="s">
        <v>61</v>
      </c>
      <c r="G5" s="871"/>
      <c r="H5" s="871"/>
      <c r="I5" s="871"/>
      <c r="J5" s="869"/>
    </row>
    <row r="6" spans="1:10" ht="12.75" customHeight="1" thickBot="1" x14ac:dyDescent="0.35">
      <c r="A6" s="368"/>
      <c r="B6" s="371"/>
      <c r="C6" s="372"/>
      <c r="D6" s="397"/>
      <c r="E6" s="377"/>
      <c r="F6" s="868" t="s">
        <v>60</v>
      </c>
      <c r="G6" s="871"/>
      <c r="H6" s="871"/>
      <c r="I6" s="871"/>
      <c r="J6" s="869"/>
    </row>
    <row r="7" spans="1:10" ht="12.75" customHeight="1" thickBot="1" x14ac:dyDescent="0.35">
      <c r="A7" s="866"/>
      <c r="B7" s="330"/>
      <c r="C7" s="330"/>
      <c r="D7" s="330"/>
      <c r="E7" s="867"/>
      <c r="F7" s="872" t="s">
        <v>1093</v>
      </c>
      <c r="G7" s="873"/>
      <c r="H7" s="874"/>
      <c r="I7" s="484" t="s">
        <v>1094</v>
      </c>
      <c r="J7" s="485"/>
    </row>
    <row r="8" spans="1:10" ht="37.799999999999997" customHeight="1" thickBot="1" x14ac:dyDescent="0.35">
      <c r="A8" s="378" t="s">
        <v>2</v>
      </c>
      <c r="B8" s="116"/>
      <c r="C8" s="116"/>
      <c r="D8" s="116"/>
      <c r="E8" s="117"/>
      <c r="F8" s="398" t="s">
        <v>59</v>
      </c>
      <c r="G8" s="399"/>
      <c r="H8" s="118" t="s">
        <v>58</v>
      </c>
      <c r="I8" s="319" t="s">
        <v>59</v>
      </c>
      <c r="J8" s="118" t="s">
        <v>58</v>
      </c>
    </row>
    <row r="9" spans="1:10" ht="48" customHeight="1" x14ac:dyDescent="0.3">
      <c r="A9" s="379"/>
      <c r="B9" s="365"/>
      <c r="C9" s="366"/>
      <c r="D9" s="123" t="s">
        <v>99</v>
      </c>
      <c r="E9" s="124">
        <v>1600</v>
      </c>
      <c r="F9" s="414">
        <f>GETPIVOTDATA("Значение",Лист1!$B$2,"Серия","Прайм","Тип_шкафа","2-х дверный купе","Ширина",1600,"Высота",2300,"Наименование шкафа на сайте","Прайм 2-х дверный (3 секции ДСП/стекло черное)","Признак_ВИ_Шкафа","Основной вариант")</f>
        <v>25090</v>
      </c>
      <c r="G9" s="415"/>
      <c r="H9" s="28">
        <f>GETPIVOTDATA("Значение",Лист1!$B$2,"Серия","Прайм","Тип_шкафа","2-х дверный купе","Ширина",1600,"Высота",2300,"Наименование шкафа на сайте","Прайм 2-х дверный (3 секции ДСП/стекло черное)","Признак_ВИ_Шкафа","Новый вариант")</f>
        <v>28120</v>
      </c>
      <c r="I9" s="327">
        <v>27230</v>
      </c>
      <c r="J9" s="327">
        <v>30260</v>
      </c>
    </row>
    <row r="10" spans="1:10" ht="48" customHeight="1" thickBot="1" x14ac:dyDescent="0.35">
      <c r="A10" s="379"/>
      <c r="B10" s="384"/>
      <c r="C10" s="385"/>
      <c r="D10" s="125" t="s">
        <v>98</v>
      </c>
      <c r="E10" s="67">
        <v>1600</v>
      </c>
      <c r="F10" s="416">
        <f>GETPIVOTDATA("Значение",Лист1!$B$2,"Серия","Прайм","Тип_шкафа","2-х дверный купе","Ширина",1600,"Высота",2300,"Наименование шкафа на сайте","Прайм 2-х дверный (3 секции ДСП/стекло белое)","Признак_ВИ_Шкафа","Основной вариант")</f>
        <v>25090</v>
      </c>
      <c r="G10" s="417"/>
      <c r="H10" s="15">
        <f>GETPIVOTDATA("Значение",Лист1!$B$2,"Серия","Прайм","Тип_шкафа","2-х дверный купе","Ширина",1600,"Высота",2300,"Наименование шкафа на сайте","Прайм 2-х дверный (3 секции ДСП/стекло белое)","Признак_ВИ_Шкафа","Новый вариант")</f>
        <v>28120</v>
      </c>
      <c r="I10" s="326">
        <v>27230</v>
      </c>
      <c r="J10" s="326">
        <v>30260</v>
      </c>
    </row>
    <row r="11" spans="1:10" ht="34.799999999999997" thickBot="1" x14ac:dyDescent="0.35">
      <c r="A11" s="379"/>
      <c r="B11" s="120"/>
      <c r="C11" s="119"/>
      <c r="D11" s="119"/>
      <c r="E11" s="119"/>
      <c r="F11" s="398" t="s">
        <v>100</v>
      </c>
      <c r="G11" s="408"/>
      <c r="H11" s="118" t="s">
        <v>58</v>
      </c>
      <c r="I11" s="319" t="s">
        <v>100</v>
      </c>
      <c r="J11" s="118" t="s">
        <v>58</v>
      </c>
    </row>
    <row r="12" spans="1:10" ht="17.25" customHeight="1" x14ac:dyDescent="0.3">
      <c r="A12" s="379"/>
      <c r="B12" s="386"/>
      <c r="C12" s="387"/>
      <c r="D12" s="373" t="s">
        <v>15</v>
      </c>
      <c r="E12" s="124">
        <v>1200</v>
      </c>
      <c r="F12" s="418">
        <f>GETPIVOTDATA("Значение",Лист1!$B$2,"Серия","Прайм","Тип_шкафа","2-х дверный купе","Ширина",1200,"Высота",2300,"Наименование шкафа на сайте","Прайм 2-х дверный (ЛДСП)","Признак_ВИ_Шкафа","Основной вариант")</f>
        <v>21360</v>
      </c>
      <c r="G12" s="419"/>
      <c r="H12" s="28">
        <f>GETPIVOTDATA("Значение",Лист1!$B$2,"Серия","Прайм","Тип_шкафа","2-х дверный купе","Ширина",1200,"Высота",2300,"Наименование шкафа на сайте","Прайм 2-х дверный (ЛДСП)","Признак_ВИ_Шкафа","Новый вариант")</f>
        <v>23940</v>
      </c>
      <c r="I12" s="327">
        <v>23500</v>
      </c>
      <c r="J12" s="327">
        <v>26080</v>
      </c>
    </row>
    <row r="13" spans="1:10" ht="17.25" customHeight="1" x14ac:dyDescent="0.3">
      <c r="A13" s="379"/>
      <c r="B13" s="388"/>
      <c r="C13" s="389"/>
      <c r="D13" s="374"/>
      <c r="E13" s="126">
        <v>1400</v>
      </c>
      <c r="F13" s="400">
        <f>GETPIVOTDATA("Значение",Лист1!$B$2,"Серия","Прайм","Тип_шкафа","2-х дверный купе","Ширина",1400,"Высота",2300,"Наименование шкафа на сайте","Прайм 2-х дверный (ЛДСП)","Признак_ВИ_Шкафа","Основной вариант")</f>
        <v>22770</v>
      </c>
      <c r="G13" s="401"/>
      <c r="H13" s="19">
        <f>GETPIVOTDATA("Значение",Лист1!$B$2,"Серия","Прайм","Тип_шкафа","2-х дверный купе","Ширина",1400,"Высота",2300,"Наименование шкафа на сайте","Прайм 2-х дверный (ЛДСП)","Признак_ВИ_Шкафа","Новый вариант")</f>
        <v>25520</v>
      </c>
      <c r="I13" s="325">
        <v>24910</v>
      </c>
      <c r="J13" s="325">
        <v>27660</v>
      </c>
    </row>
    <row r="14" spans="1:10" ht="17.25" customHeight="1" x14ac:dyDescent="0.3">
      <c r="A14" s="379"/>
      <c r="B14" s="390"/>
      <c r="C14" s="391"/>
      <c r="D14" s="375"/>
      <c r="E14" s="126">
        <v>1600</v>
      </c>
      <c r="F14" s="400">
        <f>GETPIVOTDATA("Значение",Лист1!$B$2,"Серия","Прайм","Тип_шкафа","2-х дверный купе","Ширина",1600,"Высота",2300,"Наименование шкафа на сайте","Прайм 2-х дверный (ЛДСП)","Признак_ВИ_Шкафа","Основной вариант")</f>
        <v>24610</v>
      </c>
      <c r="G14" s="401"/>
      <c r="H14" s="19">
        <f>GETPIVOTDATA("Значение",Лист1!$B$2,"Серия","Прайм","Тип_шкафа","2-х дверный купе","Ширина",1600,"Высота",2300,"Наименование шкафа на сайте","Прайм 2-х дверный (ЛДСП)","Признак_ВИ_Шкафа","Новый вариант")</f>
        <v>27580</v>
      </c>
      <c r="I14" s="325">
        <v>26750</v>
      </c>
      <c r="J14" s="325">
        <v>29720</v>
      </c>
    </row>
    <row r="15" spans="1:10" ht="17.25" customHeight="1" x14ac:dyDescent="0.3">
      <c r="A15" s="379"/>
      <c r="B15" s="360"/>
      <c r="C15" s="361"/>
      <c r="D15" s="347" t="s">
        <v>14</v>
      </c>
      <c r="E15" s="121">
        <v>1200</v>
      </c>
      <c r="F15" s="400">
        <f>GETPIVOTDATA("Значение",Лист1!$B$2,"Серия","Прайм","Тип_шкафа","2-х дверный купе","Ширина",1200,"Высота",2300,"Наименование шкафа на сайте","Прайм 2-х дверный (ЛДСП, Зеркало)","Признак_ВИ_Шкафа","Основной вариант")</f>
        <v>24070</v>
      </c>
      <c r="G15" s="401"/>
      <c r="H15" s="19">
        <f>GETPIVOTDATA("Значение",Лист1!$B$2,"Серия","Прайм","Тип_шкафа","2-х дверный купе","Ширина",1200,"Высота",2300,"Наименование шкафа на сайте","Прайм 2-х дверный (ЛДСП, Зеркало)","Признак_ВИ_Шкафа","Новый вариант")</f>
        <v>26290</v>
      </c>
      <c r="I15" s="325">
        <v>26210</v>
      </c>
      <c r="J15" s="325">
        <v>28430</v>
      </c>
    </row>
    <row r="16" spans="1:10" ht="17.25" customHeight="1" x14ac:dyDescent="0.3">
      <c r="A16" s="379"/>
      <c r="B16" s="362"/>
      <c r="C16" s="363"/>
      <c r="D16" s="348"/>
      <c r="E16" s="121">
        <v>1400</v>
      </c>
      <c r="F16" s="400">
        <f>GETPIVOTDATA("Значение",Лист1!$B$2,"Серия","Прайм","Тип_шкафа","2-х дверный купе","Ширина",1400,"Высота",2300,"Наименование шкафа на сайте","Прайм 2-х дверный (ЛДСП, Зеркало)","Признак_ВИ_Шкафа","Основной вариант")</f>
        <v>25610</v>
      </c>
      <c r="G16" s="401"/>
      <c r="H16" s="19">
        <f>GETPIVOTDATA("Значение",Лист1!$B$2,"Серия","Прайм","Тип_шкафа","2-х дверный купе","Ширина",1400,"Высота",2300,"Наименование шкафа на сайте","Прайм 2-х дверный (ЛДСП, Зеркало)","Признак_ВИ_Шкафа","Новый вариант")</f>
        <v>27970</v>
      </c>
      <c r="I16" s="325">
        <v>27750</v>
      </c>
      <c r="J16" s="325">
        <v>30110</v>
      </c>
    </row>
    <row r="17" spans="1:10" ht="17.25" customHeight="1" x14ac:dyDescent="0.3">
      <c r="A17" s="379"/>
      <c r="B17" s="358"/>
      <c r="C17" s="359"/>
      <c r="D17" s="349"/>
      <c r="E17" s="121">
        <v>1600</v>
      </c>
      <c r="F17" s="400">
        <f>GETPIVOTDATA("Значение",Лист1!$B$2,"Серия","Прайм","Тип_шкафа","2-х дверный купе","Ширина",1600,"Высота",2300,"Наименование шкафа на сайте","Прайм 2-х дверный (ЛДСП, Зеркало)","Признак_ВИ_Шкафа","Основной вариант")</f>
        <v>27440</v>
      </c>
      <c r="G17" s="401"/>
      <c r="H17" s="19">
        <f>GETPIVOTDATA("Значение",Лист1!$B$2,"Серия","Прайм","Тип_шкафа","2-х дверный купе","Ширина",1600,"Высота",2300,"Наименование шкафа на сайте","Прайм 2-х дверный (ЛДСП, Зеркало)","Признак_ВИ_Шкафа","Новый вариант")</f>
        <v>29980</v>
      </c>
      <c r="I17" s="325">
        <v>29580</v>
      </c>
      <c r="J17" s="325">
        <v>32120</v>
      </c>
    </row>
    <row r="18" spans="1:10" ht="17.25" customHeight="1" x14ac:dyDescent="0.3">
      <c r="A18" s="379"/>
      <c r="B18" s="360"/>
      <c r="C18" s="361"/>
      <c r="D18" s="347" t="s">
        <v>13</v>
      </c>
      <c r="E18" s="121">
        <v>1200</v>
      </c>
      <c r="F18" s="400">
        <f>GETPIVOTDATA("Значение",Лист1!$B$2,"Серия","Прайм","Тип_шкафа","2-х дверный купе","Ширина",1200,"Высота",2300,"Наименование шкафа на сайте","Прайм 2-х дверный (Зеркало)","Признак_ВИ_Шкафа","Основной вариант")</f>
        <v>26780</v>
      </c>
      <c r="G18" s="401"/>
      <c r="H18" s="19">
        <f>GETPIVOTDATA("Значение",Лист1!$B$2,"Серия","Прайм","Тип_шкафа","2-х дверный купе","Ширина",1200,"Высота",2300,"Наименование шкафа на сайте","Прайм 2-х дверный (Зеркало)","Признак_ВИ_Шкафа","Новый вариант")</f>
        <v>28640</v>
      </c>
      <c r="I18" s="325">
        <v>28920</v>
      </c>
      <c r="J18" s="325">
        <v>30780</v>
      </c>
    </row>
    <row r="19" spans="1:10" ht="17.25" customHeight="1" x14ac:dyDescent="0.3">
      <c r="A19" s="379"/>
      <c r="B19" s="362"/>
      <c r="C19" s="363"/>
      <c r="D19" s="348"/>
      <c r="E19" s="121">
        <v>1400</v>
      </c>
      <c r="F19" s="400">
        <f>GETPIVOTDATA("Значение",Лист1!$B$2,"Серия","Прайм","Тип_шкафа","2-х дверный купе","Ширина",1400,"Высота",2300,"Наименование шкафа на сайте","Прайм 2-х дверный (Зеркало)","Признак_ВИ_Шкафа","Основной вариант")</f>
        <v>28450</v>
      </c>
      <c r="G19" s="401"/>
      <c r="H19" s="19">
        <f>GETPIVOTDATA("Значение",Лист1!$B$2,"Серия","Прайм","Тип_шкафа","2-х дверный купе","Ширина",1400,"Высота",2300,"Наименование шкафа на сайте","Прайм 2-х дверный (Зеркало)","Признак_ВИ_Шкафа","Новый вариант")</f>
        <v>30420</v>
      </c>
      <c r="I19" s="325">
        <v>30590</v>
      </c>
      <c r="J19" s="325">
        <v>32560</v>
      </c>
    </row>
    <row r="20" spans="1:10" ht="17.25" customHeight="1" x14ac:dyDescent="0.3">
      <c r="A20" s="379"/>
      <c r="B20" s="358"/>
      <c r="C20" s="359"/>
      <c r="D20" s="349"/>
      <c r="E20" s="121">
        <v>1600</v>
      </c>
      <c r="F20" s="400">
        <f>GETPIVOTDATA("Значение",Лист1!$B$2,"Серия","Прайм","Тип_шкафа","2-х дверный купе","Ширина",1600,"Высота",2300,"Наименование шкафа на сайте","Прайм 2-х дверный (Зеркало)","Признак_ВИ_Шкафа","Основной вариант")</f>
        <v>30270</v>
      </c>
      <c r="G20" s="401"/>
      <c r="H20" s="19">
        <f>GETPIVOTDATA("Значение",Лист1!$B$2,"Серия","Прайм","Тип_шкафа","2-х дверный купе","Ширина",1600,"Высота",2300,"Наименование шкафа на сайте","Прайм 2-х дверный (Зеркало)","Признак_ВИ_Шкафа","Новый вариант")</f>
        <v>32380</v>
      </c>
      <c r="I20" s="325">
        <v>32410</v>
      </c>
      <c r="J20" s="325">
        <v>34520</v>
      </c>
    </row>
    <row r="21" spans="1:10" ht="17.25" customHeight="1" x14ac:dyDescent="0.3">
      <c r="A21" s="379"/>
      <c r="B21" s="360"/>
      <c r="C21" s="361"/>
      <c r="D21" s="347" t="s">
        <v>900</v>
      </c>
      <c r="E21" s="121">
        <v>1200</v>
      </c>
      <c r="F21" s="400">
        <f>GETPIVOTDATA("Значение",Лист1!$B$2,"Серия","Прайм","Тип_шкафа","2-х дверный купе","Ширина",1200,"Высота",2300,"Наименование шкафа на сайте","Прайм 2-х дверный (ЛДСП, Черное стекло)","Признак_ВИ_Шкафа","Основной вариант")</f>
        <v>25620</v>
      </c>
      <c r="G21" s="401"/>
      <c r="H21" s="19">
        <f>GETPIVOTDATA("Значение",Лист1!$B$2,"Серия","Прайм","Тип_шкафа","2-х дверный купе","Ширина",1200,"Высота",2300,"Наименование шкафа на сайте","Прайм 2-х дверный (ЛДСП, Черное стекло)","Признак_ВИ_Шкафа","Новый вариант")</f>
        <v>27840</v>
      </c>
      <c r="I21" s="325">
        <v>27760</v>
      </c>
      <c r="J21" s="325">
        <v>29980</v>
      </c>
    </row>
    <row r="22" spans="1:10" ht="17.25" customHeight="1" x14ac:dyDescent="0.3">
      <c r="A22" s="379"/>
      <c r="B22" s="362"/>
      <c r="C22" s="363"/>
      <c r="D22" s="348"/>
      <c r="E22" s="121">
        <v>1400</v>
      </c>
      <c r="F22" s="400">
        <f>GETPIVOTDATA("Значение",Лист1!$B$2,"Серия","Прайм","Тип_шкафа","2-х дверный купе","Ширина",1400,"Высота",2300,"Наименование шкафа на сайте","Прайм 2-х дверный (ЛДСП, Черное стекло)","Признак_ВИ_Шкафа","Основной вариант")</f>
        <v>27310</v>
      </c>
      <c r="G22" s="401"/>
      <c r="H22" s="19">
        <f>GETPIVOTDATA("Значение",Лист1!$B$2,"Серия","Прайм","Тип_шкафа","2-х дверный купе","Ширина",1400,"Высота",2300,"Наименование шкафа на сайте","Прайм 2-х дверный (ЛДСП, Черное стекло)","Признак_ВИ_Шкафа","Новый вариант")</f>
        <v>29670</v>
      </c>
      <c r="I22" s="325">
        <v>29450</v>
      </c>
      <c r="J22" s="325">
        <v>31810</v>
      </c>
    </row>
    <row r="23" spans="1:10" ht="17.25" customHeight="1" x14ac:dyDescent="0.3">
      <c r="A23" s="379"/>
      <c r="B23" s="358"/>
      <c r="C23" s="359"/>
      <c r="D23" s="349"/>
      <c r="E23" s="121">
        <v>1600</v>
      </c>
      <c r="F23" s="400">
        <f>GETPIVOTDATA("Значение",Лист1!$B$2,"Серия","Прайм","Тип_шкафа","2-х дверный купе","Ширина",1600,"Высота",2300,"Наименование шкафа на сайте","Прайм 2-х дверный (ЛДСП, Черное стекло)","Признак_ВИ_Шкафа","Основной вариант")</f>
        <v>28990</v>
      </c>
      <c r="G23" s="401"/>
      <c r="H23" s="19">
        <f>GETPIVOTDATA("Значение",Лист1!$B$2,"Серия","Прайм","Тип_шкафа","2-х дверный купе","Ширина",1600,"Высота",2300,"Наименование шкафа на сайте","Прайм 2-х дверный (ЛДСП, Черное стекло)","Признак_ВИ_Шкафа","Новый вариант")</f>
        <v>31530</v>
      </c>
      <c r="I23" s="325">
        <v>31130</v>
      </c>
      <c r="J23" s="325">
        <v>33670</v>
      </c>
    </row>
    <row r="24" spans="1:10" ht="17.25" customHeight="1" x14ac:dyDescent="0.3">
      <c r="A24" s="379"/>
      <c r="B24" s="360"/>
      <c r="C24" s="361"/>
      <c r="D24" s="347" t="s">
        <v>901</v>
      </c>
      <c r="E24" s="121">
        <v>1200</v>
      </c>
      <c r="F24" s="400">
        <f>GETPIVOTDATA("Значение",Лист1!$B$2,"Серия","Прайм","Тип_шкафа","2-х дверный купе","Ширина",1200,"Высота",2300,"Наименование шкафа на сайте","Прайм 2-х дверный (Зеркало, Черное стекло)","Признак_ВИ_Шкафа","Основной вариант")</f>
        <v>28330</v>
      </c>
      <c r="G24" s="401"/>
      <c r="H24" s="19">
        <f>GETPIVOTDATA("Значение",Лист1!$B$2,"Серия","Прайм","Тип_шкафа","2-х дверный купе","Ширина",1200,"Высота",2300,"Наименование шкафа на сайте","Прайм 2-х дверный (Зеркало, Черное стекло)","Признак_ВИ_Шкафа","Новый вариант")</f>
        <v>30190</v>
      </c>
      <c r="I24" s="325">
        <v>30470</v>
      </c>
      <c r="J24" s="325">
        <v>32330</v>
      </c>
    </row>
    <row r="25" spans="1:10" ht="17.25" customHeight="1" x14ac:dyDescent="0.3">
      <c r="A25" s="379"/>
      <c r="B25" s="362"/>
      <c r="C25" s="363"/>
      <c r="D25" s="348"/>
      <c r="E25" s="121">
        <v>1400</v>
      </c>
      <c r="F25" s="400">
        <f>GETPIVOTDATA("Значение",Лист1!$B$2,"Серия","Прайм","Тип_шкафа","2-х дверный купе","Ширина",1400,"Высота",2300,"Наименование шкафа на сайте","Прайм 2-х дверный (Зеркало, Черное стекло)","Признак_ВИ_Шкафа","Основной вариант")</f>
        <v>30150</v>
      </c>
      <c r="G25" s="401"/>
      <c r="H25" s="19">
        <f>GETPIVOTDATA("Значение",Лист1!$B$2,"Серия","Прайм","Тип_шкафа","2-х дверный купе","Ширина",1400,"Высота",2300,"Наименование шкафа на сайте","Прайм 2-х дверный (Зеркало, Черное стекло)","Признак_ВИ_Шкафа","Новый вариант")</f>
        <v>32120</v>
      </c>
      <c r="I25" s="325">
        <v>32290</v>
      </c>
      <c r="J25" s="325">
        <v>34260</v>
      </c>
    </row>
    <row r="26" spans="1:10" ht="17.25" customHeight="1" x14ac:dyDescent="0.3">
      <c r="A26" s="379"/>
      <c r="B26" s="358"/>
      <c r="C26" s="359"/>
      <c r="D26" s="349"/>
      <c r="E26" s="121">
        <v>1600</v>
      </c>
      <c r="F26" s="400">
        <f>GETPIVOTDATA("Значение",Лист1!$B$2,"Серия","Прайм","Тип_шкафа","2-х дверный купе","Ширина",1600,"Высота",2300,"Наименование шкафа на сайте","Прайм 2-х дверный (Зеркало, Черное стекло)","Признак_ВИ_Шкафа","Основной вариант")</f>
        <v>31820</v>
      </c>
      <c r="G26" s="401"/>
      <c r="H26" s="19">
        <f>GETPIVOTDATA("Значение",Лист1!$B$2,"Серия","Прайм","Тип_шкафа","2-х дверный купе","Ширина",1600,"Высота",2300,"Наименование шкафа на сайте","Прайм 2-х дверный (Зеркало, Черное стекло)","Признак_ВИ_Шкафа","Новый вариант")</f>
        <v>33930</v>
      </c>
      <c r="I26" s="325">
        <v>33960</v>
      </c>
      <c r="J26" s="325">
        <v>36070</v>
      </c>
    </row>
    <row r="27" spans="1:10" ht="17.25" customHeight="1" x14ac:dyDescent="0.3">
      <c r="A27" s="379"/>
      <c r="B27" s="360"/>
      <c r="C27" s="361"/>
      <c r="D27" s="347" t="s">
        <v>902</v>
      </c>
      <c r="E27" s="121">
        <v>1200</v>
      </c>
      <c r="F27" s="400">
        <f>GETPIVOTDATA("Значение",Лист1!$B$2,"Серия","Прайм","Тип_шкафа","2-х дверный купе","Ширина",1200,"Высота",2300,"Наименование шкафа на сайте","Прайм 2-х дверный (Черное стекло)","Признак_ВИ_Шкафа","Основной вариант")</f>
        <v>29880</v>
      </c>
      <c r="G27" s="401"/>
      <c r="H27" s="19">
        <f>GETPIVOTDATA("Значение",Лист1!B:I,"Серия","Прайм","Тип_шкафа","2-х дверный купе","Ширина",1200,"Высота",2300,"Наименование шкафа на сайте","Прайм 2-х дверный (Белое стекло)","Признак_ВИ_Шкафа","Новый вариант")</f>
        <v>31740</v>
      </c>
      <c r="I27" s="325">
        <v>32020</v>
      </c>
      <c r="J27" s="325">
        <v>33880</v>
      </c>
    </row>
    <row r="28" spans="1:10" ht="17.25" customHeight="1" x14ac:dyDescent="0.3">
      <c r="A28" s="379"/>
      <c r="B28" s="362"/>
      <c r="C28" s="363"/>
      <c r="D28" s="348"/>
      <c r="E28" s="121">
        <v>1400</v>
      </c>
      <c r="F28" s="400">
        <f>GETPIVOTDATA("Значение",Лист1!$B$2,"Серия","Прайм","Тип_шкафа","2-х дверный купе","Ширина",1400,"Высота",2300,"Наименование шкафа на сайте","Прайм 2-х дверный (Черное стекло)","Признак_ВИ_Шкафа","Основной вариант")</f>
        <v>31850</v>
      </c>
      <c r="G28" s="401"/>
      <c r="H28" s="19">
        <f>GETPIVOTDATA("Значение",Лист1!$B$2,"Серия","Прайм","Тип_шкафа","2-х дверный купе","Ширина",1400,"Высота",2300,"Наименование шкафа на сайте","Прайм 2-х дверный (Черное стекло)","Признак_ВИ_Шкафа","Новый вариант")</f>
        <v>33820</v>
      </c>
      <c r="I28" s="325">
        <v>33990</v>
      </c>
      <c r="J28" s="325">
        <v>35960</v>
      </c>
    </row>
    <row r="29" spans="1:10" ht="17.25" customHeight="1" x14ac:dyDescent="0.3">
      <c r="A29" s="379"/>
      <c r="B29" s="358"/>
      <c r="C29" s="359"/>
      <c r="D29" s="349"/>
      <c r="E29" s="121">
        <v>1600</v>
      </c>
      <c r="F29" s="335">
        <f>GETPIVOTDATA("Значение",Лист1!$B$2,"Серия","Прайм","Тип_шкафа","2-х дверный купе","Ширина",1600,"Высота",2300,"Наименование шкафа на сайте","Прайм 2-х дверный (Черное стекло)","Признак_ВИ_Шкафа","Основной вариант")</f>
        <v>33370</v>
      </c>
      <c r="G29" s="336"/>
      <c r="H29" s="15">
        <f>GETPIVOTDATA("Значение",Лист1!$B$2,"Серия","Прайм","Тип_шкафа","2-х дверный купе","Ширина",1600,"Высота",2300,"Наименование шкафа на сайте","Прайм 2-х дверный (Черное стекло)","Признак_ВИ_Шкафа","Новый вариант")</f>
        <v>35480</v>
      </c>
      <c r="I29" s="326">
        <v>35510</v>
      </c>
      <c r="J29" s="326">
        <v>37620</v>
      </c>
    </row>
    <row r="30" spans="1:10" ht="17.25" customHeight="1" x14ac:dyDescent="0.3">
      <c r="A30" s="379"/>
      <c r="B30" s="360"/>
      <c r="C30" s="361"/>
      <c r="D30" s="347" t="s">
        <v>916</v>
      </c>
      <c r="E30" s="121">
        <v>1200</v>
      </c>
      <c r="F30" s="400">
        <v>29880</v>
      </c>
      <c r="G30" s="401"/>
      <c r="H30" s="19">
        <v>31740</v>
      </c>
      <c r="I30" s="325">
        <v>32020</v>
      </c>
      <c r="J30" s="325">
        <v>33880</v>
      </c>
    </row>
    <row r="31" spans="1:10" ht="17.25" customHeight="1" x14ac:dyDescent="0.3">
      <c r="A31" s="379"/>
      <c r="B31" s="362"/>
      <c r="C31" s="363"/>
      <c r="D31" s="348"/>
      <c r="E31" s="121">
        <v>1400</v>
      </c>
      <c r="F31" s="400">
        <v>31850</v>
      </c>
      <c r="G31" s="401"/>
      <c r="H31" s="19">
        <v>33820</v>
      </c>
      <c r="I31" s="325">
        <v>33990</v>
      </c>
      <c r="J31" s="325">
        <v>35960</v>
      </c>
    </row>
    <row r="32" spans="1:10" ht="17.25" customHeight="1" thickBot="1" x14ac:dyDescent="0.35">
      <c r="A32" s="380"/>
      <c r="B32" s="358"/>
      <c r="C32" s="359"/>
      <c r="D32" s="349"/>
      <c r="E32" s="122">
        <v>1600</v>
      </c>
      <c r="F32" s="335">
        <v>33370</v>
      </c>
      <c r="G32" s="336"/>
      <c r="H32" s="15">
        <v>35480</v>
      </c>
      <c r="I32" s="326">
        <v>35510</v>
      </c>
      <c r="J32" s="326">
        <v>37620</v>
      </c>
    </row>
    <row r="33" spans="1:10" ht="24" customHeight="1" x14ac:dyDescent="0.3">
      <c r="A33" s="378" t="s">
        <v>1</v>
      </c>
      <c r="B33" s="356"/>
      <c r="C33" s="357"/>
      <c r="D33" s="364" t="s">
        <v>12</v>
      </c>
      <c r="E33" s="328">
        <v>1800</v>
      </c>
      <c r="F33" s="412">
        <f>GETPIVOTDATA("Значение",Лист1!$B$2,"Серия","Прайм","Тип_шкафа","3-х дверный купе","Ширина",1800,"Высота",2300,"Наименование шкафа на сайте","Прайм 3-х дверный (ЛДСП)","Признак_ВИ_Шкафа","Основной вариант")</f>
        <v>28120</v>
      </c>
      <c r="G33" s="413"/>
      <c r="H33" s="110">
        <f>GETPIVOTDATA("Значение",Лист1!$B$2,"Серия","Прайм","Тип_шкафа","3-х дверный купе","Ширина",1800,"Высота",2300,"Наименование шкафа на сайте","Прайм 3-х дверный (ЛДСП)","Признак_ВИ_Шкафа","Новый вариант")</f>
        <v>31520</v>
      </c>
      <c r="I33" s="110">
        <v>31280</v>
      </c>
      <c r="J33" s="110">
        <v>34680</v>
      </c>
    </row>
    <row r="34" spans="1:10" ht="24" customHeight="1" x14ac:dyDescent="0.3">
      <c r="A34" s="379"/>
      <c r="B34" s="358"/>
      <c r="C34" s="359"/>
      <c r="D34" s="349"/>
      <c r="E34" s="109">
        <v>2100</v>
      </c>
      <c r="F34" s="341">
        <f>GETPIVOTDATA("Значение",Лист1!$B$2,"Серия","Прайм","Тип_шкафа","3-х дверный купе","Ширина",2100,"Высота",2300,"Наименование шкафа на сайте","Прайм 3-х дверный (ЛДСП)","Признак_ВИ_Шкафа","Основной вариант")</f>
        <v>31600</v>
      </c>
      <c r="G34" s="342"/>
      <c r="H34" s="108">
        <f>GETPIVOTDATA("Значение",Лист1!$B$2,"Серия","Прайм","Тип_шкафа","3-х дверный купе","Ширина",2100,"Высота",2300,"Наименование шкафа на сайте","Прайм 3-х дверный (ЛДСП)","Признак_ВИ_Шкафа","Новый вариант")</f>
        <v>35420</v>
      </c>
      <c r="I34" s="108">
        <v>34760</v>
      </c>
      <c r="J34" s="108">
        <v>38580</v>
      </c>
    </row>
    <row r="35" spans="1:10" ht="24" customHeight="1" x14ac:dyDescent="0.3">
      <c r="A35" s="379"/>
      <c r="B35" s="360"/>
      <c r="C35" s="361"/>
      <c r="D35" s="347" t="s">
        <v>11</v>
      </c>
      <c r="E35" s="109">
        <v>1800</v>
      </c>
      <c r="F35" s="341">
        <f>GETPIVOTDATA("Значение",Лист1!$B$2,"Серия","Прайм","Тип_шкафа","3-х дверный купе","Ширина",1800,"Высота",2300,"Наименование шкафа на сайте","Прайм 3-х дверный (ЛДСП, Зеркало)","Признак_ВИ_Шкафа","Основной вариант")</f>
        <v>30830</v>
      </c>
      <c r="G35" s="342"/>
      <c r="H35" s="108">
        <f>GETPIVOTDATA("Значение",Лист1!$B$2,"Серия","Прайм","Тип_шкафа","3-х дверный купе","Ширина",1800,"Высота",2300,"Наименование шкафа на сайте","Прайм 3-х дверный (ЛДСП, Зеркало)","Признак_ВИ_Шкафа","Новый вариант")</f>
        <v>33870</v>
      </c>
      <c r="I35" s="108">
        <v>33990</v>
      </c>
      <c r="J35" s="108">
        <v>37030</v>
      </c>
    </row>
    <row r="36" spans="1:10" ht="24" customHeight="1" x14ac:dyDescent="0.3">
      <c r="A36" s="379"/>
      <c r="B36" s="358"/>
      <c r="C36" s="359"/>
      <c r="D36" s="349"/>
      <c r="E36" s="109">
        <v>2100</v>
      </c>
      <c r="F36" s="339">
        <f>GETPIVOTDATA("Значение",Лист1!$B$2,"Серия","Прайм","Тип_шкафа","3-х дверный купе","Ширина",2100,"Высота",2300,"Наименование шкафа на сайте","Прайм 3-х дверный (ЛДСП, Зеркало)","Признак_ВИ_Шкафа","Основной вариант")</f>
        <v>34440</v>
      </c>
      <c r="G36" s="340"/>
      <c r="H36" s="107">
        <f>GETPIVOTDATA("Значение",Лист1!$B$2,"Серия","Прайм","Тип_шкафа","3-х дверный купе","Ширина",2100,"Высота",2300,"Наименование шкафа на сайте","Прайм 3-х дверный (ЛДСП, Зеркало)","Признак_ВИ_Шкафа","Новый вариант")</f>
        <v>37870</v>
      </c>
      <c r="I36" s="107">
        <v>37600</v>
      </c>
      <c r="J36" s="107">
        <v>41030</v>
      </c>
    </row>
    <row r="37" spans="1:10" ht="24" customHeight="1" x14ac:dyDescent="0.3">
      <c r="A37" s="379"/>
      <c r="B37" s="360"/>
      <c r="C37" s="361"/>
      <c r="D37" s="347" t="s">
        <v>909</v>
      </c>
      <c r="E37" s="109">
        <v>1800</v>
      </c>
      <c r="F37" s="341">
        <f>GETPIVOTDATA("Значение",Лист1!$B$2,"Серия","Прайм","Тип_шкафа","3-х дверный купе","Ширина",1800,"Высота",2300,"Наименование шкафа на сайте","Прайм 3-х дверный (ЛДСП, Черное стекло)","Признак_ВИ_Шкафа","Основной вариант")</f>
        <v>32380</v>
      </c>
      <c r="G37" s="342"/>
      <c r="H37" s="108">
        <f>GETPIVOTDATA("Значение",Лист1!$B$2,"Серия","Прайм","Тип_шкафа","3-х дверный купе","Ширина",1800,"Высота",2300,"Наименование шкафа на сайте","Прайм 3-х дверный (ЛДСП, Черное стекло)","Признак_ВИ_Шкафа","Новый вариант")</f>
        <v>35420</v>
      </c>
      <c r="I37" s="108">
        <v>35540</v>
      </c>
      <c r="J37" s="108">
        <v>38580</v>
      </c>
    </row>
    <row r="38" spans="1:10" ht="24" customHeight="1" x14ac:dyDescent="0.3">
      <c r="A38" s="379"/>
      <c r="B38" s="358"/>
      <c r="C38" s="359"/>
      <c r="D38" s="349"/>
      <c r="E38" s="109">
        <v>2100</v>
      </c>
      <c r="F38" s="339">
        <f>GETPIVOTDATA("Значение",Лист1!$B$2,"Серия","Прайм","Тип_шкафа","3-х дверный купе","Ширина",2100,"Высота",2300,"Наименование шкафа на сайте","Прайм 3-х дверный (ЛДСП, Черное стекло)","Признак_ВИ_Шкафа","Основной вариант")</f>
        <v>36140</v>
      </c>
      <c r="G38" s="340"/>
      <c r="H38" s="107">
        <f>GETPIVOTDATA("Значение",Лист1!$B$2,"Серия","Прайм","Тип_шкафа","3-х дверный купе","Ширина",2100,"Высота",2300,"Наименование шкафа на сайте","Прайм 3-х дверный (ЛДСП, Черное стекло)","Признак_ВИ_Шкафа","Новый вариант")</f>
        <v>39570</v>
      </c>
      <c r="I38" s="107">
        <v>39300</v>
      </c>
      <c r="J38" s="107">
        <v>42730</v>
      </c>
    </row>
    <row r="39" spans="1:10" ht="24" customHeight="1" x14ac:dyDescent="0.3">
      <c r="A39" s="379"/>
      <c r="B39" s="360"/>
      <c r="C39" s="361"/>
      <c r="D39" s="347" t="s">
        <v>55</v>
      </c>
      <c r="E39" s="109">
        <v>1800</v>
      </c>
      <c r="F39" s="341">
        <f>GETPIVOTDATA("Значение",Лист1!$B$2,"Серия","Прайм","Тип_шкафа","3-х дверный купе","Ширина",1800,"Высота",2300,"Наименование шкафа на сайте","Прайм 3-х дверный (Зеркало, ЛДСП)","Признак_ВИ_Шкафа","Основной вариант")</f>
        <v>33540</v>
      </c>
      <c r="G39" s="342"/>
      <c r="H39" s="108">
        <f>GETPIVOTDATA("Значение",Лист1!$B$2,"Серия","Прайм","Тип_шкафа","3-х дверный купе","Ширина",1800,"Высота",2300,"Наименование шкафа на сайте","Прайм 3-х дверный (Зеркало, ЛДСП)","Признак_ВИ_Шкафа","Новый вариант")</f>
        <v>36220</v>
      </c>
      <c r="I39" s="108">
        <v>36700</v>
      </c>
      <c r="J39" s="108">
        <v>39380</v>
      </c>
    </row>
    <row r="40" spans="1:10" ht="24" customHeight="1" x14ac:dyDescent="0.3">
      <c r="A40" s="379"/>
      <c r="B40" s="358"/>
      <c r="C40" s="359"/>
      <c r="D40" s="349"/>
      <c r="E40" s="109">
        <v>2100</v>
      </c>
      <c r="F40" s="339">
        <f>GETPIVOTDATA("Значение",Лист1!$B$2,"Серия","Прайм","Тип_шкафа","3-х дверный купе","Ширина",2100,"Высота",2300,"Наименование шкафа на сайте","Прайм 3-х дверный (Зеркало, ЛДСП)","Признак_ВИ_Шкафа","Основной вариант")</f>
        <v>37280</v>
      </c>
      <c r="G40" s="340"/>
      <c r="H40" s="107">
        <f>GETPIVOTDATA("Значение",Лист1!$B$2,"Серия","Прайм","Тип_шкафа","3-х дверный купе","Ширина",2100,"Высота",2300,"Наименование шкафа на сайте","Прайм 3-х дверный (Зеркало, ЛДСП)","Признак_ВИ_Шкафа","Новый вариант")</f>
        <v>40320</v>
      </c>
      <c r="I40" s="107">
        <v>40440</v>
      </c>
      <c r="J40" s="107">
        <v>43480</v>
      </c>
    </row>
    <row r="41" spans="1:10" ht="24" customHeight="1" x14ac:dyDescent="0.3">
      <c r="A41" s="379"/>
      <c r="B41" s="360"/>
      <c r="C41" s="361"/>
      <c r="D41" s="347" t="s">
        <v>903</v>
      </c>
      <c r="E41" s="109">
        <v>1800</v>
      </c>
      <c r="F41" s="341">
        <f>GETPIVOTDATA("Значение",Лист1!$B$2,"Серия","Прайм","Тип_шкафа","3-х дверный купе","Ширина",1800,"Высота",2300,"Наименование шкафа на сайте","Прайм 3-х дверный (Черное стекло, ЛДСП)","Признак_ВИ_Шкафа","Основной вариант")</f>
        <v>36640</v>
      </c>
      <c r="G41" s="342"/>
      <c r="H41" s="108">
        <f>GETPIVOTDATA("Значение",Лист1!$B$2,"Серия","Прайм","Тип_шкафа","3-х дверный купе","Ширина",1800,"Высота",2300,"Наименование шкафа на сайте","Прайм 3-х дверный (Черное стекло, ЛДСП)","Признак_ВИ_Шкафа","Новый вариант")</f>
        <v>39320</v>
      </c>
      <c r="I41" s="108">
        <v>39800</v>
      </c>
      <c r="J41" s="108">
        <v>42480</v>
      </c>
    </row>
    <row r="42" spans="1:10" ht="24" customHeight="1" x14ac:dyDescent="0.3">
      <c r="A42" s="379"/>
      <c r="B42" s="358"/>
      <c r="C42" s="359"/>
      <c r="D42" s="349"/>
      <c r="E42" s="109">
        <v>2100</v>
      </c>
      <c r="F42" s="339">
        <f>GETPIVOTDATA("Значение",Лист1!$B$2,"Серия","Прайм","Тип_шкафа","3-х дверный купе","Ширина",2100,"Высота",2300,"Наименование шкафа на сайте","Прайм 3-х дверный (Черное стекло, ЛДСП)","Признак_ВИ_Шкафа","Основной вариант")</f>
        <v>40680</v>
      </c>
      <c r="G42" s="340"/>
      <c r="H42" s="107">
        <f>GETPIVOTDATA("Значение",Лист1!$B$2,"Серия","Прайм","Тип_шкафа","3-х дверный купе","Ширина",2100,"Высота",2300,"Наименование шкафа на сайте","Прайм 3-х дверный (Черное стекло, ЛДСП)","Признак_ВИ_Шкафа","Новый вариант")</f>
        <v>43720</v>
      </c>
      <c r="I42" s="107">
        <v>43840</v>
      </c>
      <c r="J42" s="107">
        <v>46880</v>
      </c>
    </row>
    <row r="43" spans="1:10" ht="24" customHeight="1" x14ac:dyDescent="0.3">
      <c r="A43" s="379"/>
      <c r="B43" s="360"/>
      <c r="C43" s="361"/>
      <c r="D43" s="347" t="s">
        <v>904</v>
      </c>
      <c r="E43" s="109">
        <v>1800</v>
      </c>
      <c r="F43" s="341">
        <f>GETPIVOTDATA("Значение",Лист1!$B$2,"Серия","Прайм","Тип_шкафа","3-х дверный купе","Ширина",1800,"Высота",2300,"Наименование шкафа на сайте","Прайм 3-х дверный (Зеркало, Черное стекло)","Признак_ВИ_Шкафа","Основной вариант")</f>
        <v>37800</v>
      </c>
      <c r="G43" s="342"/>
      <c r="H43" s="108">
        <f>GETPIVOTDATA("Значение",Лист1!$B$2,"Серия","Прайм","Тип_шкафа","3-х дверный купе","Ширина",1800,"Высота",2300,"Наименование шкафа на сайте","Прайм 3-х дверный (Зеркало, Черное стекло)","Признак_ВИ_Шкафа","Новый вариант")</f>
        <v>40120</v>
      </c>
      <c r="I43" s="108">
        <v>40960</v>
      </c>
      <c r="J43" s="108">
        <v>43280</v>
      </c>
    </row>
    <row r="44" spans="1:10" ht="24" customHeight="1" x14ac:dyDescent="0.3">
      <c r="A44" s="379"/>
      <c r="B44" s="358"/>
      <c r="C44" s="359"/>
      <c r="D44" s="349"/>
      <c r="E44" s="109">
        <v>2100</v>
      </c>
      <c r="F44" s="339">
        <f>GETPIVOTDATA("Значение",Лист1!$B$2,"Серия","Прайм","Тип_шкафа","3-х дверный купе","Ширина",2100,"Высота",2300,"Наименование шкафа на сайте","Прайм 3-х дверный (Зеркало, Черное стекло)","Признак_ВИ_Шкафа","Основной вариант")</f>
        <v>41820</v>
      </c>
      <c r="G44" s="340"/>
      <c r="H44" s="107">
        <f>GETPIVOTDATA("Значение",Лист1!$B$2,"Серия","Прайм","Тип_шкафа","3-х дверный купе","Ширина",2100,"Высота",2300,"Наименование шкафа на сайте","Прайм 3-х дверный (Зеркало, Черное стекло)","Признак_ВИ_Шкафа","Новый вариант")</f>
        <v>44470</v>
      </c>
      <c r="I44" s="107">
        <v>44980</v>
      </c>
      <c r="J44" s="107">
        <v>47630</v>
      </c>
    </row>
    <row r="45" spans="1:10" ht="24" customHeight="1" x14ac:dyDescent="0.3">
      <c r="A45" s="379"/>
      <c r="B45" s="360"/>
      <c r="C45" s="361"/>
      <c r="D45" s="347" t="s">
        <v>905</v>
      </c>
      <c r="E45" s="109">
        <v>1800</v>
      </c>
      <c r="F45" s="341">
        <f>GETPIVOTDATA("Значение",Лист1!$B$2,"Серия","Прайм","Тип_шкафа","3-х дверный купе","Ширина",1800,"Высота",2300,"Наименование шкафа на сайте","Прайм 3-х дверный (Черное стекло, Зеркало)","Признак_ВИ_Шкафа","Основной вариант")</f>
        <v>39350</v>
      </c>
      <c r="G45" s="342"/>
      <c r="H45" s="108">
        <f>GETPIVOTDATA("Значение",Лист1!$B$2,"Серия","Прайм","Тип_шкафа","3-х дверный купе","Ширина",1800,"Высота",2300,"Наименование шкафа на сайте","Прайм 3-х дверный (Черное стекло, Зеркало)","Признак_ВИ_Шкафа","Новый вариант")</f>
        <v>41670</v>
      </c>
      <c r="I45" s="108">
        <v>42510</v>
      </c>
      <c r="J45" s="108">
        <v>44830</v>
      </c>
    </row>
    <row r="46" spans="1:10" ht="24" customHeight="1" x14ac:dyDescent="0.3">
      <c r="A46" s="379"/>
      <c r="B46" s="358"/>
      <c r="C46" s="359"/>
      <c r="D46" s="349"/>
      <c r="E46" s="109">
        <v>2100</v>
      </c>
      <c r="F46" s="339">
        <f>GETPIVOTDATA("Значение",Лист1!$B$2,"Серия","Прайм","Тип_шкафа","3-х дверный купе","Ширина",2100,"Высота",2300,"Наименование шкафа на сайте","Прайм 3-х дверный (Черное стекло, Зеркало)","Признак_ВИ_Шкафа","Основной вариант")</f>
        <v>43520</v>
      </c>
      <c r="G46" s="340"/>
      <c r="H46" s="107">
        <f>GETPIVOTDATA("Значение",Лист1!$B$2,"Серия","Прайм","Тип_шкафа","3-х дверный купе","Ширина",2100,"Высота",2300,"Наименование шкафа на сайте","Прайм 3-х дверный (Черное стекло, Зеркало)","Признак_ВИ_Шкафа","Новый вариант")</f>
        <v>46170</v>
      </c>
      <c r="I46" s="107">
        <v>46680</v>
      </c>
      <c r="J46" s="107">
        <v>49330</v>
      </c>
    </row>
    <row r="47" spans="1:10" ht="24" customHeight="1" x14ac:dyDescent="0.3">
      <c r="A47" s="379"/>
      <c r="B47" s="360"/>
      <c r="C47" s="361"/>
      <c r="D47" s="347" t="s">
        <v>54</v>
      </c>
      <c r="E47" s="109">
        <v>1800</v>
      </c>
      <c r="F47" s="341">
        <f>GETPIVOTDATA("Значение",Лист1!$B$2,"Серия","Прайм","Тип_шкафа","3-х дверный купе","Ширина",1800,"Высота",2300,"Наименование шкафа на сайте","Прайм 3-х дверный (Зеркало)","Признак_ВИ_Шкафа","Основной вариант")</f>
        <v>36250</v>
      </c>
      <c r="G47" s="342"/>
      <c r="H47" s="108">
        <f>GETPIVOTDATA("Значение",Лист1!$B$2,"Серия","Прайм","Тип_шкафа","3-х дверный купе","Ширина",1800,"Высота",2300,"Наименование шкафа на сайте","Прайм 3-х дверный (Зеркало)","Признак_ВИ_Шкафа","Новый вариант")</f>
        <v>38570</v>
      </c>
      <c r="I47" s="108">
        <v>39410</v>
      </c>
      <c r="J47" s="108">
        <v>41730</v>
      </c>
    </row>
    <row r="48" spans="1:10" ht="24" customHeight="1" x14ac:dyDescent="0.3">
      <c r="A48" s="379"/>
      <c r="B48" s="358"/>
      <c r="C48" s="359"/>
      <c r="D48" s="349"/>
      <c r="E48" s="109">
        <v>2100</v>
      </c>
      <c r="F48" s="339">
        <f>GETPIVOTDATA("Значение",Лист1!$B$2,"Серия","Прайм","Тип_шкафа","3-х дверный купе","Ширина",2100,"Высота",2300,"Наименование шкафа на сайте","Прайм 3-х дверный (Зеркало)","Признак_ВИ_Шкафа","Основной вариант")</f>
        <v>40120</v>
      </c>
      <c r="G48" s="340"/>
      <c r="H48" s="107">
        <f>GETPIVOTDATA("Значение",Лист1!$B$2,"Серия","Прайм","Тип_шкафа","3-х дверный купе","Ширина",2100,"Высота",2300,"Наименование шкафа на сайте","Прайм 3-х дверный (Зеркало)","Признак_ВИ_Шкафа","Новый вариант")</f>
        <v>42770</v>
      </c>
      <c r="I48" s="107">
        <v>43280</v>
      </c>
      <c r="J48" s="107">
        <v>45930</v>
      </c>
    </row>
    <row r="49" spans="1:10" ht="24" customHeight="1" x14ac:dyDescent="0.3">
      <c r="A49" s="379"/>
      <c r="B49" s="360"/>
      <c r="C49" s="361"/>
      <c r="D49" s="347" t="s">
        <v>906</v>
      </c>
      <c r="E49" s="109">
        <v>1800</v>
      </c>
      <c r="F49" s="341">
        <f>GETPIVOTDATA("Значение",Лист1!$B$2,"Серия","Прайм","Тип_шкафа","3-х дверный купе","Ширина",1800,"Высота",2300,"Наименование шкафа на сайте","Прайм 3-х дверный (Черное стекло)","Признак_ВИ_Шкафа","Основной вариант")</f>
        <v>40900</v>
      </c>
      <c r="G49" s="342"/>
      <c r="H49" s="108">
        <f>GETPIVOTDATA("Значение",Лист1!$B$2,"Серия","Прайм","Тип_шкафа","3-х дверный купе","Ширина",1800,"Высота",2300,"Наименование шкафа на сайте","Прайм 3-х дверный (Черное стекло)","Признак_ВИ_Шкафа","Новый вариант")</f>
        <v>43220</v>
      </c>
      <c r="I49" s="108">
        <v>44060</v>
      </c>
      <c r="J49" s="108">
        <v>46380</v>
      </c>
    </row>
    <row r="50" spans="1:10" ht="24" customHeight="1" x14ac:dyDescent="0.3">
      <c r="A50" s="379"/>
      <c r="B50" s="358"/>
      <c r="C50" s="359"/>
      <c r="D50" s="349"/>
      <c r="E50" s="109">
        <v>2100</v>
      </c>
      <c r="F50" s="339">
        <f>GETPIVOTDATA("Значение",Лист1!$B$2,"Серия","Прайм","Тип_шкафа","3-х дверный купе","Ширина",2100,"Высота",2300,"Наименование шкафа на сайте","Прайм 3-х дверный (Черное стекло)","Признак_ВИ_Шкафа","Основной вариант")</f>
        <v>45220</v>
      </c>
      <c r="G50" s="340"/>
      <c r="H50" s="107">
        <f>GETPIVOTDATA("Значение",Лист1!$B$2,"Серия","Прайм","Тип_шкафа","3-х дверный купе","Ширина",2100,"Высота",2300,"Наименование шкафа на сайте","Прайм 3-х дверный (Черное стекло)","Признак_ВИ_Шкафа","Новый вариант")</f>
        <v>47870</v>
      </c>
      <c r="I50" s="107">
        <v>48380</v>
      </c>
      <c r="J50" s="107">
        <v>51030</v>
      </c>
    </row>
    <row r="51" spans="1:10" ht="24" customHeight="1" x14ac:dyDescent="0.3">
      <c r="A51" s="379"/>
      <c r="B51" s="360"/>
      <c r="C51" s="361"/>
      <c r="D51" s="376" t="s">
        <v>916</v>
      </c>
      <c r="E51" s="109">
        <v>1800</v>
      </c>
      <c r="F51" s="341">
        <v>40900</v>
      </c>
      <c r="G51" s="342"/>
      <c r="H51" s="108">
        <v>43220</v>
      </c>
      <c r="I51" s="108">
        <v>44060</v>
      </c>
      <c r="J51" s="108">
        <v>46380</v>
      </c>
    </row>
    <row r="52" spans="1:10" ht="24" customHeight="1" thickBot="1" x14ac:dyDescent="0.35">
      <c r="A52" s="380"/>
      <c r="B52" s="392"/>
      <c r="C52" s="393"/>
      <c r="D52" s="377"/>
      <c r="E52" s="875">
        <v>2100</v>
      </c>
      <c r="F52" s="876">
        <v>45220</v>
      </c>
      <c r="G52" s="877"/>
      <c r="H52" s="878">
        <v>47870</v>
      </c>
      <c r="I52" s="878">
        <v>48380</v>
      </c>
      <c r="J52" s="878">
        <v>51030</v>
      </c>
    </row>
    <row r="53" spans="1:10" ht="40.950000000000003" customHeight="1" x14ac:dyDescent="0.3">
      <c r="A53" s="473" t="s">
        <v>7</v>
      </c>
      <c r="B53" s="897"/>
      <c r="C53" s="897"/>
      <c r="D53" s="898" t="s">
        <v>66</v>
      </c>
      <c r="E53" s="893"/>
      <c r="F53" s="894">
        <f>GETPIVOTDATA("Значение",Лист1!$Y$3,"Вариант_исполнения","Белый снег","Ширина","350","Глубина","505","Высота","2300","Признак вставки","без вставки")</f>
        <v>4620</v>
      </c>
      <c r="G53" s="894"/>
      <c r="H53" s="895">
        <f>GETPIVOTDATA("Значение",Лист1!$Y$3,"Вариант_исполнения","Бетон","Ширина","350","Глубина","505","Высота","2300","Признак вставки","без вставки")</f>
        <v>5170</v>
      </c>
    </row>
    <row r="54" spans="1:10" ht="40.950000000000003" customHeight="1" x14ac:dyDescent="0.3">
      <c r="A54" s="501"/>
      <c r="B54" s="350"/>
      <c r="C54" s="350"/>
      <c r="D54" s="329" t="s">
        <v>66</v>
      </c>
      <c r="E54" s="323" t="s">
        <v>852</v>
      </c>
      <c r="F54" s="345">
        <f>GETPIVOTDATA("Значение",Лист1!$Y$3,"Вариант_исполнения","Белый снег","Ширина","350","Глубина","505","Высота","2300","Признак вставки","с вставкой")</f>
        <v>5600</v>
      </c>
      <c r="G54" s="345"/>
      <c r="H54" s="886">
        <f>GETPIVOTDATA("Значение",Лист1!$Y$3,"Вариант_исполнения","Бетон","Ширина","350","Глубина","505","Высота","2300","Признак вставки","с вставкой")</f>
        <v>6160</v>
      </c>
    </row>
    <row r="55" spans="1:10" ht="18.600000000000001" customHeight="1" x14ac:dyDescent="0.3">
      <c r="A55" s="501"/>
      <c r="B55" s="350"/>
      <c r="C55" s="350"/>
      <c r="D55" s="355" t="s">
        <v>6</v>
      </c>
      <c r="E55" s="346" t="s">
        <v>97</v>
      </c>
      <c r="F55" s="345">
        <f>GETPIVOTDATA("Значение",Лист1!$K:$P,"Вариант_исполнения","Венге","Ширина","600","Глубина","600","Высота","388","Комплектующая","Модуль")</f>
        <v>3430</v>
      </c>
      <c r="G55" s="345"/>
      <c r="H55" s="899">
        <f>GETPIVOTDATA("Значение",Лист1!$K:$P,"Вариант_исполнения","Бетон","Ширина","600","Глубина","600","Высота","388","Комплектующая","Модуль")</f>
        <v>3840</v>
      </c>
    </row>
    <row r="56" spans="1:10" ht="18.600000000000001" customHeight="1" x14ac:dyDescent="0.3">
      <c r="A56" s="501"/>
      <c r="B56" s="350"/>
      <c r="C56" s="350"/>
      <c r="D56" s="355"/>
      <c r="E56" s="346"/>
      <c r="F56" s="345"/>
      <c r="G56" s="345"/>
      <c r="H56" s="899"/>
    </row>
    <row r="57" spans="1:10" ht="18.600000000000001" customHeight="1" thickBot="1" x14ac:dyDescent="0.35">
      <c r="A57" s="501"/>
      <c r="B57" s="350"/>
      <c r="C57" s="350"/>
      <c r="D57" s="355"/>
      <c r="E57" s="346"/>
      <c r="F57" s="345"/>
      <c r="G57" s="345"/>
      <c r="H57" s="899"/>
    </row>
    <row r="58" spans="1:10" ht="17.25" customHeight="1" x14ac:dyDescent="0.3">
      <c r="A58" s="378" t="s">
        <v>3</v>
      </c>
      <c r="B58" s="91"/>
      <c r="C58" s="167"/>
      <c r="D58" s="168"/>
      <c r="E58" s="322" t="s">
        <v>2</v>
      </c>
      <c r="F58" s="343" t="s">
        <v>1</v>
      </c>
      <c r="G58" s="344"/>
      <c r="H58" s="169"/>
    </row>
    <row r="59" spans="1:10" ht="59.25" customHeight="1" thickBot="1" x14ac:dyDescent="0.35">
      <c r="A59" s="380"/>
      <c r="B59" s="394"/>
      <c r="C59" s="395"/>
      <c r="D59" s="65"/>
      <c r="E59" s="64"/>
      <c r="F59" s="337"/>
      <c r="G59" s="338"/>
      <c r="H59" s="63"/>
    </row>
    <row r="60" spans="1:10" ht="14.4" customHeight="1" x14ac:dyDescent="0.3">
      <c r="A60" s="264"/>
      <c r="B60" s="265"/>
      <c r="C60" s="265"/>
      <c r="D60" s="266" t="s">
        <v>977</v>
      </c>
      <c r="E60" s="266"/>
      <c r="F60" s="266"/>
      <c r="G60" s="265"/>
      <c r="H60" s="267"/>
    </row>
    <row r="61" spans="1:10" ht="14.4" customHeight="1" thickBot="1" x14ac:dyDescent="0.35">
      <c r="A61" s="268"/>
      <c r="B61" s="65"/>
      <c r="C61" s="65"/>
      <c r="D61" s="285" t="s">
        <v>1001</v>
      </c>
      <c r="E61" s="65"/>
      <c r="F61" s="65"/>
      <c r="G61" s="65"/>
      <c r="H61" s="2"/>
    </row>
  </sheetData>
  <mergeCells count="112">
    <mergeCell ref="F7:H7"/>
    <mergeCell ref="I7:J7"/>
    <mergeCell ref="F6:J6"/>
    <mergeCell ref="F5:J5"/>
    <mergeCell ref="A53:A57"/>
    <mergeCell ref="H1:H2"/>
    <mergeCell ref="H3:H4"/>
    <mergeCell ref="C1:F1"/>
    <mergeCell ref="G1:G2"/>
    <mergeCell ref="G3:G4"/>
    <mergeCell ref="F51:G51"/>
    <mergeCell ref="F47:G47"/>
    <mergeCell ref="D24:D26"/>
    <mergeCell ref="F11:G11"/>
    <mergeCell ref="F14:G14"/>
    <mergeCell ref="F15:G15"/>
    <mergeCell ref="F21:G21"/>
    <mergeCell ref="F23:G23"/>
    <mergeCell ref="F22:G22"/>
    <mergeCell ref="E5:E6"/>
    <mergeCell ref="F33:G33"/>
    <mergeCell ref="F34:G34"/>
    <mergeCell ref="F9:G9"/>
    <mergeCell ref="F10:G10"/>
    <mergeCell ref="F12:G12"/>
    <mergeCell ref="F13:G13"/>
    <mergeCell ref="F27:G27"/>
    <mergeCell ref="D5:D6"/>
    <mergeCell ref="F8:G8"/>
    <mergeCell ref="F55:G57"/>
    <mergeCell ref="H55:H57"/>
    <mergeCell ref="F16:G16"/>
    <mergeCell ref="F17:G17"/>
    <mergeCell ref="F18:G18"/>
    <mergeCell ref="F32:G32"/>
    <mergeCell ref="F30:G30"/>
    <mergeCell ref="F40:G40"/>
    <mergeCell ref="F39:G39"/>
    <mergeCell ref="F26:G26"/>
    <mergeCell ref="F25:G25"/>
    <mergeCell ref="F38:G38"/>
    <mergeCell ref="F31:G31"/>
    <mergeCell ref="F19:G19"/>
    <mergeCell ref="F20:G20"/>
    <mergeCell ref="F24:G24"/>
    <mergeCell ref="F49:G49"/>
    <mergeCell ref="F50:G50"/>
    <mergeCell ref="F35:G35"/>
    <mergeCell ref="F36:G36"/>
    <mergeCell ref="F28:G28"/>
    <mergeCell ref="D47:D48"/>
    <mergeCell ref="B10:C10"/>
    <mergeCell ref="B41:C42"/>
    <mergeCell ref="B43:C44"/>
    <mergeCell ref="B45:C46"/>
    <mergeCell ref="A58:A59"/>
    <mergeCell ref="B12:C14"/>
    <mergeCell ref="B51:C52"/>
    <mergeCell ref="B55:C57"/>
    <mergeCell ref="B59:C59"/>
    <mergeCell ref="B30:C32"/>
    <mergeCell ref="A33:A52"/>
    <mergeCell ref="D12:D14"/>
    <mergeCell ref="D45:D46"/>
    <mergeCell ref="D51:D52"/>
    <mergeCell ref="B18:C20"/>
    <mergeCell ref="A8:A32"/>
    <mergeCell ref="B15:C17"/>
    <mergeCell ref="B47:C48"/>
    <mergeCell ref="B49:C50"/>
    <mergeCell ref="D49:D50"/>
    <mergeCell ref="C2:D3"/>
    <mergeCell ref="A1:A4"/>
    <mergeCell ref="D55:D57"/>
    <mergeCell ref="B33:C34"/>
    <mergeCell ref="B35:C36"/>
    <mergeCell ref="D41:D42"/>
    <mergeCell ref="B21:C23"/>
    <mergeCell ref="D21:D23"/>
    <mergeCell ref="B27:C29"/>
    <mergeCell ref="D27:D29"/>
    <mergeCell ref="D37:D38"/>
    <mergeCell ref="B39:C40"/>
    <mergeCell ref="D39:D40"/>
    <mergeCell ref="B37:C38"/>
    <mergeCell ref="D33:D34"/>
    <mergeCell ref="D35:D36"/>
    <mergeCell ref="D15:D17"/>
    <mergeCell ref="B53:C53"/>
    <mergeCell ref="B9:C9"/>
    <mergeCell ref="A5:A6"/>
    <mergeCell ref="B5:C6"/>
    <mergeCell ref="B24:C26"/>
    <mergeCell ref="D43:D44"/>
    <mergeCell ref="D18:D20"/>
    <mergeCell ref="F29:G29"/>
    <mergeCell ref="F59:G59"/>
    <mergeCell ref="F48:G48"/>
    <mergeCell ref="F52:G52"/>
    <mergeCell ref="F46:G46"/>
    <mergeCell ref="F37:G37"/>
    <mergeCell ref="F41:G41"/>
    <mergeCell ref="F42:G42"/>
    <mergeCell ref="F58:G58"/>
    <mergeCell ref="F53:G53"/>
    <mergeCell ref="F54:G54"/>
    <mergeCell ref="F43:G43"/>
    <mergeCell ref="F44:G44"/>
    <mergeCell ref="F45:G45"/>
    <mergeCell ref="E55:E57"/>
    <mergeCell ref="D30:D32"/>
    <mergeCell ref="B54:C54"/>
  </mergeCells>
  <pageMargins left="0.25" right="0.25" top="0.75" bottom="0.75" header="0.3" footer="0.3"/>
  <pageSetup paperSize="9" scale="48" orientation="portrait" r:id="rId1"/>
  <rowBreaks count="2" manualBreakCount="2">
    <brk id="36" max="7" man="1"/>
    <brk id="59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4F63F-0E42-471A-B87D-AC0494C4C2D3}">
  <sheetPr codeName="Лист6"/>
  <dimension ref="A1:H39"/>
  <sheetViews>
    <sheetView showGridLines="0" zoomScale="85" zoomScaleNormal="85" zoomScaleSheetLayoutView="130" workbookViewId="0">
      <pane xSplit="8" ySplit="7" topLeftCell="I8" activePane="bottomRight" state="frozen"/>
      <selection activeCell="K21" sqref="K21"/>
      <selection pane="topRight" activeCell="K21" sqref="K21"/>
      <selection pane="bottomLeft" activeCell="K21" sqref="K21"/>
      <selection pane="bottomRight" activeCell="L26" sqref="L26"/>
    </sheetView>
  </sheetViews>
  <sheetFormatPr defaultColWidth="9.109375" defaultRowHeight="14.4" customHeight="1" x14ac:dyDescent="0.3"/>
  <cols>
    <col min="1" max="1" width="8.44140625" customWidth="1"/>
    <col min="2" max="2" width="38.5546875" customWidth="1"/>
    <col min="3" max="3" width="14.33203125" customWidth="1"/>
    <col min="4" max="4" width="10.6640625" customWidth="1"/>
    <col min="5" max="6" width="13.5546875" customWidth="1"/>
    <col min="7" max="7" width="15" customWidth="1"/>
    <col min="8" max="8" width="13.5546875" customWidth="1"/>
    <col min="9" max="22" width="9.109375" customWidth="1"/>
  </cols>
  <sheetData>
    <row r="1" spans="1:8" ht="15" customHeight="1" x14ac:dyDescent="0.3">
      <c r="A1" s="352"/>
      <c r="B1" s="520" t="s">
        <v>781</v>
      </c>
      <c r="C1" s="520"/>
      <c r="D1" s="520"/>
      <c r="E1" s="520"/>
      <c r="F1" s="420"/>
      <c r="G1" s="646" t="s">
        <v>782</v>
      </c>
      <c r="H1" s="648"/>
    </row>
    <row r="2" spans="1:8" ht="15" customHeight="1" x14ac:dyDescent="0.3">
      <c r="A2" s="353"/>
      <c r="B2" s="645" t="s">
        <v>107</v>
      </c>
      <c r="C2" s="645"/>
      <c r="D2" s="71"/>
      <c r="E2" s="42"/>
      <c r="F2" s="421"/>
      <c r="G2" s="647"/>
      <c r="H2" s="649"/>
    </row>
    <row r="3" spans="1:8" ht="15" customHeight="1" x14ac:dyDescent="0.3">
      <c r="A3" s="353"/>
      <c r="B3" s="41"/>
      <c r="C3" s="513" t="s">
        <v>25</v>
      </c>
      <c r="D3" s="513"/>
      <c r="E3" s="39">
        <v>45536</v>
      </c>
      <c r="F3" s="421"/>
      <c r="G3" s="646" t="s">
        <v>783</v>
      </c>
      <c r="H3" s="648"/>
    </row>
    <row r="4" spans="1:8" ht="12.75" customHeight="1" thickBot="1" x14ac:dyDescent="0.35">
      <c r="A4" s="354"/>
      <c r="B4" s="38"/>
      <c r="C4" s="37"/>
      <c r="D4" s="37"/>
      <c r="E4" s="36"/>
      <c r="F4" s="512"/>
      <c r="G4" s="647"/>
      <c r="H4" s="649"/>
    </row>
    <row r="5" spans="1:8" ht="14.25" customHeight="1" x14ac:dyDescent="0.3">
      <c r="A5" s="505" t="s">
        <v>24</v>
      </c>
      <c r="B5" s="506" t="s">
        <v>23</v>
      </c>
      <c r="C5" s="506" t="s">
        <v>22</v>
      </c>
      <c r="D5" s="374" t="s">
        <v>21</v>
      </c>
      <c r="E5" s="129" t="s">
        <v>20</v>
      </c>
      <c r="F5" s="134" t="s">
        <v>19</v>
      </c>
      <c r="G5" s="129" t="s">
        <v>20</v>
      </c>
      <c r="H5" s="134" t="s">
        <v>19</v>
      </c>
    </row>
    <row r="6" spans="1:8" ht="12.75" customHeight="1" thickBot="1" x14ac:dyDescent="0.35">
      <c r="A6" s="368"/>
      <c r="B6" s="397"/>
      <c r="C6" s="397"/>
      <c r="D6" s="377"/>
      <c r="E6" s="409" t="s">
        <v>106</v>
      </c>
      <c r="F6" s="410"/>
      <c r="G6" s="410"/>
      <c r="H6" s="411"/>
    </row>
    <row r="7" spans="1:8" ht="26.25" customHeight="1" thickBot="1" x14ac:dyDescent="0.35">
      <c r="A7" s="467"/>
      <c r="B7" s="468"/>
      <c r="C7" s="468"/>
      <c r="D7" s="469"/>
      <c r="E7" s="433" t="s">
        <v>105</v>
      </c>
      <c r="F7" s="500"/>
      <c r="G7" s="433" t="s">
        <v>58</v>
      </c>
      <c r="H7" s="434"/>
    </row>
    <row r="8" spans="1:8" ht="26.25" customHeight="1" x14ac:dyDescent="0.3">
      <c r="A8" s="473" t="s">
        <v>104</v>
      </c>
      <c r="B8" s="509"/>
      <c r="C8" s="610" t="s">
        <v>103</v>
      </c>
      <c r="D8" s="631">
        <v>900</v>
      </c>
      <c r="E8" s="634">
        <f>GETPIVOTDATA("Значение",Лист1!$B$2,"Серия","Угловой Экспресс","Тип_шкафа","Угловой Распашной","Ширина",900,"Высота",2200,"Наименование шкафа на сайте","Экспресс Угловой","Признак_ВИ_Шкафа","Основной вариант")</f>
        <v>16270</v>
      </c>
      <c r="F8" s="637">
        <f>GETPIVOTDATA("Значение",Лист1!$B$2,"Серия","Угловой Экспресс","Тип_шкафа","Угловой Распашной","Ширина",900,"Высота",2400,"Наименование шкафа на сайте","Экспресс Угловой","Признак_ВИ_Шкафа","Основной вариант")</f>
        <v>16920</v>
      </c>
      <c r="G8" s="640">
        <f>GETPIVOTDATA("Значение",Лист1!$B$2,"Серия","Угловой Экспресс","Тип_шкафа","Угловой Распашной","Ширина",900,"Высота",2200,"Наименование шкафа на сайте","Экспресс Угловой","Признак_ВИ_Шкафа","Новый вариант")</f>
        <v>17900</v>
      </c>
      <c r="H8" s="461">
        <f>GETPIVOTDATA("Значение",Лист1!$B$2,"Серия","Угловой Экспресс","Тип_шкафа","Угловой Распашной","Ширина",900,"Высота",2400,"Наименование шкафа на сайте","Экспресс Угловой","Признак_ВИ_Шкафа","Новый вариант")</f>
        <v>18630</v>
      </c>
    </row>
    <row r="9" spans="1:8" ht="26.25" customHeight="1" x14ac:dyDescent="0.3">
      <c r="A9" s="501"/>
      <c r="B9" s="510"/>
      <c r="C9" s="531"/>
      <c r="D9" s="632"/>
      <c r="E9" s="635"/>
      <c r="F9" s="638"/>
      <c r="G9" s="641"/>
      <c r="H9" s="453"/>
    </row>
    <row r="10" spans="1:8" ht="26.25" customHeight="1" thickBot="1" x14ac:dyDescent="0.35">
      <c r="A10" s="501"/>
      <c r="B10" s="510"/>
      <c r="C10" s="531"/>
      <c r="D10" s="633"/>
      <c r="E10" s="636"/>
      <c r="F10" s="639"/>
      <c r="G10" s="642"/>
      <c r="H10" s="466"/>
    </row>
    <row r="11" spans="1:8" ht="21.75" customHeight="1" x14ac:dyDescent="0.3">
      <c r="A11" s="378" t="s">
        <v>3</v>
      </c>
      <c r="B11" s="8"/>
      <c r="C11" s="7"/>
      <c r="D11" s="643" t="s">
        <v>102</v>
      </c>
      <c r="E11" s="644"/>
      <c r="F11" s="627"/>
      <c r="G11" s="627"/>
      <c r="H11" s="628"/>
    </row>
    <row r="12" spans="1:8" ht="79.5" customHeight="1" thickBot="1" x14ac:dyDescent="0.35">
      <c r="A12" s="380"/>
      <c r="B12" s="6"/>
      <c r="C12" s="5"/>
      <c r="D12" s="620"/>
      <c r="E12" s="619"/>
      <c r="F12" s="629"/>
      <c r="G12" s="629"/>
      <c r="H12" s="630"/>
    </row>
    <row r="13" spans="1:8" ht="18" customHeight="1" x14ac:dyDescent="0.3">
      <c r="A13" s="1"/>
    </row>
    <row r="14" spans="1:8" ht="18" customHeight="1" x14ac:dyDescent="0.3">
      <c r="A14" s="1"/>
    </row>
    <row r="39" spans="2:2" x14ac:dyDescent="0.3">
      <c r="B39" t="s">
        <v>0</v>
      </c>
    </row>
  </sheetData>
  <mergeCells count="30">
    <mergeCell ref="G1:G2"/>
    <mergeCell ref="H1:H2"/>
    <mergeCell ref="G3:G4"/>
    <mergeCell ref="H3:H4"/>
    <mergeCell ref="B1:E1"/>
    <mergeCell ref="A1:A4"/>
    <mergeCell ref="F3:F4"/>
    <mergeCell ref="F1:F2"/>
    <mergeCell ref="C3:D3"/>
    <mergeCell ref="B2:C2"/>
    <mergeCell ref="B8:B10"/>
    <mergeCell ref="A8:A10"/>
    <mergeCell ref="D12:E12"/>
    <mergeCell ref="A11:A12"/>
    <mergeCell ref="D11:E11"/>
    <mergeCell ref="C8:C10"/>
    <mergeCell ref="D5:D6"/>
    <mergeCell ref="G7:H7"/>
    <mergeCell ref="E6:H6"/>
    <mergeCell ref="E7:F7"/>
    <mergeCell ref="A7:D7"/>
    <mergeCell ref="A5:A6"/>
    <mergeCell ref="B5:B6"/>
    <mergeCell ref="C5:C6"/>
    <mergeCell ref="F11:H12"/>
    <mergeCell ref="D8:D10"/>
    <mergeCell ref="E8:E10"/>
    <mergeCell ref="F8:F10"/>
    <mergeCell ref="G8:G10"/>
    <mergeCell ref="H8:H10"/>
  </mergeCells>
  <pageMargins left="0.25" right="0.25" top="0.75" bottom="0.75" header="0.3" footer="0.3"/>
  <pageSetup paperSize="9" scale="73" orientation="portrait" r:id="rId1"/>
  <rowBreaks count="1" manualBreakCount="1">
    <brk id="12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68E7F-79E5-4574-B611-E824187A120D}">
  <sheetPr codeName="Лист8"/>
  <dimension ref="A1:I12"/>
  <sheetViews>
    <sheetView showGridLines="0" zoomScale="70" zoomScaleNormal="70" zoomScaleSheetLayoutView="100" workbookViewId="0">
      <pane xSplit="1" ySplit="6" topLeftCell="B7" activePane="bottomRight" state="frozen"/>
      <selection activeCell="K21" sqref="K21"/>
      <selection pane="topRight" activeCell="K21" sqref="K21"/>
      <selection pane="bottomLeft" activeCell="K21" sqref="K21"/>
      <selection pane="bottomRight" activeCell="C1" sqref="C1:G1"/>
    </sheetView>
  </sheetViews>
  <sheetFormatPr defaultColWidth="9.109375" defaultRowHeight="14.4" customHeight="1" x14ac:dyDescent="0.3"/>
  <cols>
    <col min="1" max="1" width="8.88671875" customWidth="1"/>
    <col min="2" max="2" width="16.109375" customWidth="1"/>
    <col min="3" max="3" width="12.5546875" customWidth="1"/>
    <col min="4" max="4" width="8.33203125" customWidth="1"/>
    <col min="5" max="5" width="19.6640625" customWidth="1"/>
    <col min="6" max="6" width="11" bestFit="1" customWidth="1"/>
    <col min="7" max="7" width="14.88671875" customWidth="1"/>
    <col min="8" max="8" width="13.88671875" customWidth="1"/>
    <col min="9" max="9" width="16.88671875" customWidth="1"/>
    <col min="10" max="18" width="9.109375" customWidth="1"/>
  </cols>
  <sheetData>
    <row r="1" spans="1:9" ht="15" customHeight="1" x14ac:dyDescent="0.3">
      <c r="A1" s="665"/>
      <c r="B1" s="106" t="s">
        <v>780</v>
      </c>
      <c r="C1" s="670" t="s">
        <v>1085</v>
      </c>
      <c r="D1" s="670"/>
      <c r="E1" s="670"/>
      <c r="F1" s="670"/>
      <c r="G1" s="670"/>
      <c r="H1" s="679" t="s">
        <v>782</v>
      </c>
      <c r="I1" s="681"/>
    </row>
    <row r="2" spans="1:9" ht="15" customHeight="1" x14ac:dyDescent="0.3">
      <c r="A2" s="666"/>
      <c r="B2" s="105" t="s">
        <v>52</v>
      </c>
      <c r="C2" s="104" t="s">
        <v>96</v>
      </c>
      <c r="D2" s="92"/>
      <c r="E2" s="92"/>
      <c r="F2" s="92"/>
      <c r="G2" s="101"/>
      <c r="H2" s="680"/>
      <c r="I2" s="682"/>
    </row>
    <row r="3" spans="1:9" ht="15" customHeight="1" x14ac:dyDescent="0.3">
      <c r="A3" s="666"/>
      <c r="B3" s="103"/>
      <c r="C3" s="102"/>
      <c r="D3" s="668" t="s">
        <v>25</v>
      </c>
      <c r="E3" s="668"/>
      <c r="F3" s="39">
        <v>45536</v>
      </c>
      <c r="G3" s="101"/>
      <c r="H3" s="679" t="s">
        <v>783</v>
      </c>
      <c r="I3" s="681"/>
    </row>
    <row r="4" spans="1:9" ht="15.75" customHeight="1" thickBot="1" x14ac:dyDescent="0.35">
      <c r="A4" s="667"/>
      <c r="B4" s="100"/>
      <c r="C4" s="99"/>
      <c r="D4" s="669"/>
      <c r="E4" s="669"/>
      <c r="F4" s="98"/>
      <c r="G4" s="97"/>
      <c r="H4" s="680"/>
      <c r="I4" s="682"/>
    </row>
    <row r="5" spans="1:9" ht="15" customHeight="1" x14ac:dyDescent="0.3">
      <c r="A5" s="671" t="s">
        <v>95</v>
      </c>
      <c r="B5" s="673" t="s">
        <v>23</v>
      </c>
      <c r="C5" s="674"/>
      <c r="D5" s="675"/>
      <c r="E5" s="686" t="s">
        <v>94</v>
      </c>
      <c r="F5" s="687"/>
      <c r="G5" s="663" t="s">
        <v>93</v>
      </c>
      <c r="H5" s="660" t="s">
        <v>92</v>
      </c>
      <c r="I5" s="661" t="s">
        <v>975</v>
      </c>
    </row>
    <row r="6" spans="1:9" ht="15" customHeight="1" thickBot="1" x14ac:dyDescent="0.35">
      <c r="A6" s="672"/>
      <c r="B6" s="676"/>
      <c r="C6" s="677"/>
      <c r="D6" s="678"/>
      <c r="E6" s="688"/>
      <c r="F6" s="689"/>
      <c r="G6" s="664"/>
      <c r="H6" s="660"/>
      <c r="I6" s="662"/>
    </row>
    <row r="7" spans="1:9" ht="57.75" customHeight="1" x14ac:dyDescent="0.3">
      <c r="A7" s="683" t="s">
        <v>90</v>
      </c>
      <c r="B7" s="96"/>
      <c r="C7" s="653"/>
      <c r="D7" s="556"/>
      <c r="E7" s="690" t="s">
        <v>89</v>
      </c>
      <c r="F7" s="691"/>
      <c r="G7" s="176" t="s">
        <v>856</v>
      </c>
      <c r="H7" s="180">
        <f>GETPIVOTDATA("Значение",Лист1!$AN$2,"Номенклатура","Стеллаж ""Ник-3"" куб 1 ячейка 355х301х350","Вариант_исполнения","Белый снег","Ширина","355","Глубина","301","Высота","350","Комплектующая","Стеллаж")</f>
        <v>770</v>
      </c>
      <c r="I7" s="180">
        <f>GETPIVOTDATA("Значение",Лист1!$AN$2,"Номенклатура","Стеллаж ""Ник-3"" куб 1 ячейка 355х301х350","Вариант_исполнения","Бетон","Ширина","355","Глубина","301","Высота","350","Комплектующая","Стеллаж")</f>
        <v>870</v>
      </c>
    </row>
    <row r="8" spans="1:9" ht="57.75" customHeight="1" x14ac:dyDescent="0.3">
      <c r="A8" s="684"/>
      <c r="B8" s="95"/>
      <c r="C8" s="654"/>
      <c r="D8" s="655"/>
      <c r="E8" s="692" t="s">
        <v>88</v>
      </c>
      <c r="F8" s="693"/>
      <c r="G8" s="177" t="s">
        <v>857</v>
      </c>
      <c r="H8" s="180">
        <f>GETPIVOTDATA("Значение",Лист1!$AN$2,"Номенклатура","Стеллаж ""Ник-3"" куб 4 ячейки 709х301х700","Вариант_исполнения","Белый снег","Ширина","709","Глубина","301","Высота","700","Комплектующая","Стеллаж")</f>
        <v>2300</v>
      </c>
      <c r="I8" s="180">
        <f>GETPIVOTDATA("Значение",Лист1!$AN$2,"Номенклатура","Стеллаж ""Ник-3"" куб 4 ячейки 709х301х700","Вариант_исполнения","Бетон","Ширина","709","Глубина","301","Высота","700","Комплектующая","Стеллаж")</f>
        <v>2580</v>
      </c>
    </row>
    <row r="9" spans="1:9" ht="57.75" customHeight="1" x14ac:dyDescent="0.3">
      <c r="A9" s="684"/>
      <c r="B9" s="95"/>
      <c r="C9" s="654"/>
      <c r="D9" s="655"/>
      <c r="E9" s="692" t="s">
        <v>87</v>
      </c>
      <c r="F9" s="693"/>
      <c r="G9" s="177" t="s">
        <v>858</v>
      </c>
      <c r="H9" s="180">
        <f>GETPIVOTDATA("Значение",Лист1!$AN$2,"Номенклатура","Стеллаж ""Ник-3"" 4 ячейки 355х301х1400","Вариант_исполнения","Белый снег","Ширина","355","Глубина","301","Высота","1400","Комплектующая","Стеллаж")</f>
        <v>2400</v>
      </c>
      <c r="I9" s="180">
        <f>GETPIVOTDATA("Значение",Лист1!$AN$2,"Номенклатура","Стеллаж ""Ник-3"" 4 ячейки 355х301х1400","Вариант_исполнения","Бетон","Ширина","355","Глубина","301","Высота","1400","Комплектующая","Стеллаж")</f>
        <v>2690</v>
      </c>
    </row>
    <row r="10" spans="1:9" ht="57.75" customHeight="1" x14ac:dyDescent="0.3">
      <c r="A10" s="684"/>
      <c r="B10" s="95"/>
      <c r="C10" s="654"/>
      <c r="D10" s="655"/>
      <c r="E10" s="692" t="s">
        <v>86</v>
      </c>
      <c r="F10" s="693"/>
      <c r="G10" s="177" t="s">
        <v>859</v>
      </c>
      <c r="H10" s="180">
        <f>GETPIVOTDATA("Значение",Лист1!$AN$2,"Номенклатура","Стеллаж ""Ник-3"" 8 ячеек 709х301х1400","Вариант_исполнения","Белый снег","Ширина","709","Глубина","301","Высота","1400","Комплектующая","Стеллаж")</f>
        <v>3840</v>
      </c>
      <c r="I10" s="180">
        <f>GETPIVOTDATA("Значение",Лист1!$AN$2,"Номенклатура","Стеллаж ""Ник-3"" 8 ячеек 709х301х1400","Вариант_исполнения","Бетон","Ширина","709","Глубина","301","Высота","1400","Комплектующая","Стеллаж")</f>
        <v>4300</v>
      </c>
    </row>
    <row r="11" spans="1:9" ht="57.75" customHeight="1" thickBot="1" x14ac:dyDescent="0.35">
      <c r="A11" s="685"/>
      <c r="B11" s="94"/>
      <c r="C11" s="656"/>
      <c r="D11" s="657"/>
      <c r="E11" s="658" t="s">
        <v>85</v>
      </c>
      <c r="F11" s="659"/>
      <c r="G11" s="179" t="s">
        <v>84</v>
      </c>
      <c r="H11" s="180">
        <f>GETPIVOTDATA("Значение",Лист1!$AN2:$AT10,"Номенклатура","Стеллаж ""Ник"" высокий 730х250х1732","Вариант_исполнения","Белый снег","Ширина","730","Глубина","250","Высота","1752","Комплектующая","Стеллаж высокий")</f>
        <v>1800</v>
      </c>
      <c r="I11" s="180">
        <f>GETPIVOTDATA("Значение",Лист1!$AN2:$AT10,"Номенклатура","Стеллаж ""Ник"" высокий 730х250х1732","Вариант_исполнения","Бетон","Ширина","730","Глубина","250","Высота","1752","Комплектующая","Стеллаж высокий")</f>
        <v>2010</v>
      </c>
    </row>
    <row r="12" spans="1:9" ht="87.75" customHeight="1" thickBot="1" x14ac:dyDescent="0.35">
      <c r="A12" s="93" t="s">
        <v>83</v>
      </c>
      <c r="B12" s="650"/>
      <c r="C12" s="651"/>
      <c r="D12" s="652"/>
      <c r="E12" s="650" t="s">
        <v>83</v>
      </c>
      <c r="F12" s="651"/>
      <c r="G12" s="178" t="s">
        <v>82</v>
      </c>
      <c r="H12" s="180">
        <f>GETPIVOTDATA("Значение",Лист1!$AN2:$AT10,"Номенклатура","Стол приставной ""Ник"" 473х300х580","Вариант_исполнения","Белый снег","Ширина","473","Глубина","300","Высота","580","Комплектующая","Стол подставной")</f>
        <v>1060</v>
      </c>
      <c r="I12" s="180">
        <f>GETPIVOTDATA("Значение",Лист1!$AN2:$AT10,"Номенклатура","Стол приставной ""Ник"" 473х300х580","Вариант_исполнения","Бетон","Ширина","473","Глубина","300","Высота","580","Комплектующая","Стол подставной")</f>
        <v>1200</v>
      </c>
    </row>
  </sheetData>
  <mergeCells count="27">
    <mergeCell ref="A7:A11"/>
    <mergeCell ref="E5:F6"/>
    <mergeCell ref="E7:F7"/>
    <mergeCell ref="E8:F8"/>
    <mergeCell ref="E9:F9"/>
    <mergeCell ref="E10:F10"/>
    <mergeCell ref="H5:H6"/>
    <mergeCell ref="I5:I6"/>
    <mergeCell ref="G5:G6"/>
    <mergeCell ref="A1:A4"/>
    <mergeCell ref="D3:E3"/>
    <mergeCell ref="D4:E4"/>
    <mergeCell ref="C1:G1"/>
    <mergeCell ref="A5:A6"/>
    <mergeCell ref="B5:D6"/>
    <mergeCell ref="H1:H2"/>
    <mergeCell ref="I1:I2"/>
    <mergeCell ref="H3:H4"/>
    <mergeCell ref="I3:I4"/>
    <mergeCell ref="B12:D12"/>
    <mergeCell ref="E12:F12"/>
    <mergeCell ref="C7:D7"/>
    <mergeCell ref="C8:D8"/>
    <mergeCell ref="C9:D9"/>
    <mergeCell ref="C10:D10"/>
    <mergeCell ref="C11:D11"/>
    <mergeCell ref="E11:F11"/>
  </mergeCells>
  <pageMargins left="0.25" right="0.25" top="0.75" bottom="0.75" header="0.3" footer="0.3"/>
  <pageSetup paperSize="9"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167EC-E808-4044-A4FF-3CC126410485}">
  <sheetPr codeName="Лист9"/>
  <dimension ref="A1:I24"/>
  <sheetViews>
    <sheetView showGridLines="0" zoomScale="85" zoomScaleNormal="85" zoomScaleSheetLayoutView="100" workbookViewId="0">
      <pane xSplit="9" ySplit="7" topLeftCell="J8" activePane="bottomRight" state="frozen"/>
      <selection activeCell="K21" sqref="K21"/>
      <selection pane="topRight" activeCell="K21" sqref="K21"/>
      <selection pane="bottomLeft" activeCell="K21" sqref="K21"/>
      <selection pane="bottomRight" activeCell="X14" sqref="X14"/>
    </sheetView>
  </sheetViews>
  <sheetFormatPr defaultColWidth="9.109375" defaultRowHeight="14.4" customHeight="1" x14ac:dyDescent="0.3"/>
  <cols>
    <col min="1" max="1" width="8.33203125" customWidth="1"/>
    <col min="2" max="2" width="16.33203125" customWidth="1"/>
    <col min="3" max="3" width="13.88671875" customWidth="1"/>
    <col min="4" max="4" width="10.109375" customWidth="1"/>
    <col min="5" max="5" width="12" customWidth="1"/>
    <col min="6" max="6" width="11.44140625" bestFit="1" customWidth="1"/>
    <col min="7" max="7" width="12.6640625" customWidth="1"/>
    <col min="8" max="9" width="18.5546875" bestFit="1" customWidth="1"/>
    <col min="10" max="19" width="9.109375" customWidth="1"/>
  </cols>
  <sheetData>
    <row r="1" spans="1:9" ht="15" customHeight="1" x14ac:dyDescent="0.3">
      <c r="A1" s="665"/>
      <c r="B1" s="106" t="s">
        <v>780</v>
      </c>
      <c r="C1" s="670" t="s">
        <v>1086</v>
      </c>
      <c r="D1" s="670"/>
      <c r="E1" s="670"/>
      <c r="F1" s="670"/>
      <c r="G1" s="156"/>
      <c r="H1" s="532" t="s">
        <v>782</v>
      </c>
      <c r="I1" s="725"/>
    </row>
    <row r="2" spans="1:9" ht="15" customHeight="1" x14ac:dyDescent="0.3">
      <c r="A2" s="666"/>
      <c r="B2" s="105" t="s">
        <v>52</v>
      </c>
      <c r="C2" s="104" t="s">
        <v>113</v>
      </c>
      <c r="D2" s="92"/>
      <c r="E2" s="92"/>
      <c r="F2" s="92"/>
      <c r="G2" s="119"/>
      <c r="H2" s="436"/>
      <c r="I2" s="726"/>
    </row>
    <row r="3" spans="1:9" ht="15" customHeight="1" x14ac:dyDescent="0.3">
      <c r="A3" s="666"/>
      <c r="B3" s="103"/>
      <c r="C3" s="102"/>
      <c r="D3" s="668" t="s">
        <v>25</v>
      </c>
      <c r="E3" s="668"/>
      <c r="F3" s="39">
        <v>45579</v>
      </c>
      <c r="G3" s="119"/>
      <c r="H3" s="727" t="s">
        <v>783</v>
      </c>
      <c r="I3" s="728"/>
    </row>
    <row r="4" spans="1:9" ht="15.75" customHeight="1" x14ac:dyDescent="0.3">
      <c r="A4" s="666"/>
      <c r="B4" s="103"/>
      <c r="C4" s="102"/>
      <c r="D4" s="668"/>
      <c r="E4" s="668"/>
      <c r="F4" s="155"/>
      <c r="G4" s="119"/>
      <c r="H4" s="525"/>
      <c r="I4" s="729"/>
    </row>
    <row r="5" spans="1:9" ht="15" customHeight="1" x14ac:dyDescent="0.3">
      <c r="A5" s="722" t="s">
        <v>24</v>
      </c>
      <c r="B5" s="723" t="s">
        <v>23</v>
      </c>
      <c r="C5" s="723"/>
      <c r="D5" s="723"/>
      <c r="E5" s="723" t="s">
        <v>22</v>
      </c>
      <c r="F5" s="723"/>
      <c r="G5" s="355" t="s">
        <v>46</v>
      </c>
      <c r="H5" s="355" t="s">
        <v>20</v>
      </c>
      <c r="I5" s="730"/>
    </row>
    <row r="6" spans="1:9" ht="15" customHeight="1" x14ac:dyDescent="0.3">
      <c r="A6" s="722"/>
      <c r="B6" s="723"/>
      <c r="C6" s="723"/>
      <c r="D6" s="723"/>
      <c r="E6" s="723"/>
      <c r="F6" s="723"/>
      <c r="G6" s="355"/>
      <c r="H6" s="355" t="s">
        <v>800</v>
      </c>
      <c r="I6" s="730"/>
    </row>
    <row r="7" spans="1:9" ht="20.399999999999999" x14ac:dyDescent="0.3">
      <c r="A7" s="157"/>
      <c r="B7" s="350"/>
      <c r="C7" s="350"/>
      <c r="D7" s="350"/>
      <c r="E7" s="350"/>
      <c r="F7" s="350"/>
      <c r="G7" s="152"/>
      <c r="H7" s="153" t="s">
        <v>92</v>
      </c>
      <c r="I7" s="158" t="s">
        <v>112</v>
      </c>
    </row>
    <row r="8" spans="1:9" ht="25.95" customHeight="1" x14ac:dyDescent="0.3">
      <c r="A8" s="708" t="s">
        <v>111</v>
      </c>
      <c r="B8" s="441"/>
      <c r="C8" s="428"/>
      <c r="D8" s="363"/>
      <c r="E8" s="715" t="s">
        <v>1091</v>
      </c>
      <c r="F8" s="716"/>
      <c r="G8" s="154">
        <v>808</v>
      </c>
      <c r="H8" s="151">
        <f>GETPIVOTDATA("Значение",Локер1!$A:$G,"Серия","Локер","Тип_шкафа","Распашной","Вариант исполнения шкафа","Белый снег","Ширина",800,"Высота",2200,"Наименование шкафа на сайте","Локер 2-х дверный (Распашной)")</f>
        <v>8420</v>
      </c>
      <c r="I8" s="151">
        <f>GETPIVOTDATA("Значение",Локер1!$A:$G,"Серия","Локер","Тип_шкафа","Распашной","Вариант исполнения шкафа","Дуб табачный","Ширина",800,"Высота",2200,"Наименование шкафа на сайте","Локер 2-х дверный (Распашной)")</f>
        <v>9360</v>
      </c>
    </row>
    <row r="9" spans="1:9" ht="25.95" customHeight="1" x14ac:dyDescent="0.3">
      <c r="A9" s="708"/>
      <c r="B9" s="441"/>
      <c r="C9" s="428"/>
      <c r="D9" s="363"/>
      <c r="E9" s="715"/>
      <c r="F9" s="716"/>
      <c r="G9" s="154">
        <v>1008</v>
      </c>
      <c r="H9" s="151">
        <f>GETPIVOTDATA("Значение",Локер1!$A:$G,"Серия","Локер","Тип_шкафа","Распашной","Вариант исполнения шкафа","Белый снег","Ширина",1000,"Высота",2200,"Наименование шкафа на сайте","Локер 2-х дверный (Распашной)")</f>
        <v>9580</v>
      </c>
      <c r="I9" s="151">
        <f>GETPIVOTDATA("Значение",Локер1!$A:$G,"Серия","Локер","Тип_шкафа","Распашной","Вариант исполнения шкафа","Дуб табачный","Ширина",1000,"Высота",2200,"Наименование шкафа на сайте","Локер 2-х дверный (Распашной)")</f>
        <v>10650</v>
      </c>
    </row>
    <row r="10" spans="1:9" ht="25.95" customHeight="1" x14ac:dyDescent="0.3">
      <c r="A10" s="708"/>
      <c r="B10" s="442"/>
      <c r="C10" s="719"/>
      <c r="D10" s="443"/>
      <c r="E10" s="717"/>
      <c r="F10" s="718"/>
      <c r="G10" s="154">
        <v>1214</v>
      </c>
      <c r="H10" s="151">
        <f>GETPIVOTDATA("Значение",Локер1!$A:$G,"Серия","Локер","Тип_шкафа","Распашной","Вариант исполнения шкафа","Белый снег","Ширина",1200,"Высота",2200,"Наименование шкафа на сайте","Локер 2-х дверный (Распашной)")</f>
        <v>12370</v>
      </c>
      <c r="I10" s="151">
        <f>GETPIVOTDATA("Значение",Локер1!$A:$G,"Серия","Локер","Тип_шкафа","Распашной","Вариант исполнения шкафа","Дуб табачный","Ширина",1200,"Высота",2200,"Наименование шкафа на сайте","Локер 2-х дверный (Распашной)")</f>
        <v>13760</v>
      </c>
    </row>
    <row r="11" spans="1:9" ht="32.4" customHeight="1" x14ac:dyDescent="0.3">
      <c r="A11" s="708"/>
      <c r="B11" s="439"/>
      <c r="C11" s="731"/>
      <c r="D11" s="440"/>
      <c r="E11" s="732" t="s">
        <v>855</v>
      </c>
      <c r="F11" s="733"/>
      <c r="G11" s="154">
        <v>808</v>
      </c>
      <c r="H11" s="151">
        <f>GETPIVOTDATA("Значение",Локер1!$A$2,"Серия","Локер","Тип_шкафа","Распашной","Вариант исполнения шкафа","Белый снег","Ширина",800,"Высота",2200,"Наименование шкафа на сайте","Локер 2-х дверный (Распашной с белым стеклом)")</f>
        <v>10860</v>
      </c>
      <c r="I11" s="151">
        <f>GETPIVOTDATA("Значение",Локер1!$A$2,"Серия","Локер","Тип_шкафа","Распашной","Вариант исполнения шкафа","Дуб табачный","Ширина",800,"Высота",2200,"Наименование шкафа на сайте","Локер 2-х дверный (Распашной с белым стеклом)")</f>
        <v>11490</v>
      </c>
    </row>
    <row r="12" spans="1:9" ht="34.200000000000003" customHeight="1" x14ac:dyDescent="0.3">
      <c r="A12" s="709"/>
      <c r="B12" s="442"/>
      <c r="C12" s="719"/>
      <c r="D12" s="443"/>
      <c r="E12" s="717"/>
      <c r="F12" s="718"/>
      <c r="G12" s="154">
        <v>1008</v>
      </c>
      <c r="H12" s="151">
        <f>GETPIVOTDATA("Значение",Локер1!$A$2,"Серия","Локер","Тип_шкафа","Распашной","Вариант исполнения шкафа","Белый снег","Ширина",1000,"Высота",2200,"Наименование шкафа на сайте","Локер 2-х дверный (Распашной с белым стеклом)")</f>
        <v>12150</v>
      </c>
      <c r="I12" s="151">
        <f>GETPIVOTDATA("Значение",Локер1!$A$2,"Серия","Локер","Тип_шкафа","Распашной","Вариант исполнения шкафа","Дуб табачный","Ширина",1000,"Высота",2200,"Наименование шкафа на сайте","Локер 2-х дверный (Распашной с белым стеклом)")</f>
        <v>12850</v>
      </c>
    </row>
    <row r="13" spans="1:9" ht="67.8" customHeight="1" x14ac:dyDescent="0.3">
      <c r="A13" s="307" t="s">
        <v>797</v>
      </c>
      <c r="B13" s="350"/>
      <c r="C13" s="350"/>
      <c r="D13" s="350"/>
      <c r="E13" s="724" t="s">
        <v>1091</v>
      </c>
      <c r="F13" s="724"/>
      <c r="G13" s="154">
        <v>808</v>
      </c>
      <c r="H13" s="151">
        <f>GETPIVOTDATA("Значение",Локер1!$A:$G,"Серия","Локер","Тип_шкафа","Складной","Вариант исполнения шкафа","Белый снег","Ширина",800,"Высота",2200,"Наименование шкафа на сайте","Локер 2-х дверный (Гармошка)")</f>
        <v>10960</v>
      </c>
      <c r="I13" s="151">
        <f>GETPIVOTDATA("Значение",Локер1!$A:$G,"Серия","Локер","Тип_шкафа","Складной","Вариант исполнения шкафа","Дуб табачный","Ширина",800,"Высота",2200,"Наименование шкафа на сайте","Локер 2-х дверный (Гармошка)")</f>
        <v>11900</v>
      </c>
    </row>
    <row r="14" spans="1:9" ht="66.599999999999994" customHeight="1" thickBot="1" x14ac:dyDescent="0.35">
      <c r="A14" s="308" t="s">
        <v>799</v>
      </c>
      <c r="B14" s="720"/>
      <c r="C14" s="720"/>
      <c r="D14" s="720"/>
      <c r="E14" s="721" t="s">
        <v>1091</v>
      </c>
      <c r="F14" s="721"/>
      <c r="G14" s="154">
        <v>808</v>
      </c>
      <c r="H14" s="151">
        <f>GETPIVOTDATA("Значение",Локер1!$A:$G,"Серия","Локер","Тип_шкафа","Складной","Вариант исполнения шкафа","Белый снег","Ширина",800,"Высота",2200,"Наименование шкафа на сайте","Локер 2-х дверный (Гармошка) с системой Push to Move/Правый)")</f>
        <v>14360</v>
      </c>
      <c r="I14" s="151">
        <f>GETPIVOTDATA("Значение",Локер1!$A:$G,"Серия","Локер","Тип_шкафа","Складной","Вариант исполнения шкафа","Дуб табачный","Ширина",800,"Высота",2200,"Наименование шкафа на сайте","Локер 2-х дверный (Гармошка) с системой Push to Move/Правый)")</f>
        <v>15300</v>
      </c>
    </row>
    <row r="15" spans="1:9" ht="18" customHeight="1" x14ac:dyDescent="0.3">
      <c r="A15" s="700" t="s">
        <v>7</v>
      </c>
      <c r="B15" s="710"/>
      <c r="C15" s="710"/>
      <c r="D15" s="710"/>
      <c r="E15" s="710" t="s">
        <v>110</v>
      </c>
      <c r="F15" s="710"/>
      <c r="G15" s="164">
        <v>608</v>
      </c>
      <c r="H15" s="164">
        <f>GETPIVOTDATA("Значение",Локер1!$J:$V,"Вариант_исполнения","Белый снег","Серия","Локер","Ширина","600","Глубина","530","Высота","2200","Комплектующая","Доп. Полки")</f>
        <v>1200</v>
      </c>
      <c r="I15" s="175">
        <f>GETPIVOTDATA("Значение",Локер1!$J:$V,"Номенклатура","Комплект доп. полок ""Локер""- (ШК 600)","Вариант_исполнения","Бетон","Серия","Локер","Ширина","600","Глубина","530","Высота","2200","Комплектующая","Доп. Полки")</f>
        <v>1370</v>
      </c>
    </row>
    <row r="16" spans="1:9" ht="27.6" customHeight="1" x14ac:dyDescent="0.3">
      <c r="A16" s="700"/>
      <c r="B16" s="710"/>
      <c r="C16" s="710"/>
      <c r="D16" s="710"/>
      <c r="E16" s="710"/>
      <c r="F16" s="710"/>
      <c r="G16" s="164">
        <v>808</v>
      </c>
      <c r="H16" s="164">
        <f>GETPIVOTDATA("Значение",Локер1!$J:$V,"Вариант_исполнения","Белый снег","Серия","Локер","Ширина","800","Глубина","530","Высота","2200","Комплектующая","Доп. Полки")</f>
        <v>1530</v>
      </c>
      <c r="I16" s="175">
        <f>GETPIVOTDATA("Значение",Локер1!$J:$V,"Номенклатура","Комплект доп. полок ""Локер""- (ШК 800)","Вариант_исполнения","Бетон","Серия","Локер","Ширина","800","Глубина","530","Высота","2200","Комплектующая","Доп. Полки")</f>
        <v>1720</v>
      </c>
    </row>
    <row r="17" spans="1:9" ht="27.6" customHeight="1" x14ac:dyDescent="0.3">
      <c r="A17" s="700"/>
      <c r="B17" s="710"/>
      <c r="C17" s="710"/>
      <c r="D17" s="710"/>
      <c r="E17" s="710"/>
      <c r="F17" s="710"/>
      <c r="G17" s="164">
        <v>1008</v>
      </c>
      <c r="H17" s="164">
        <f>GETPIVOTDATA("Значение",Локер1!$AV$6,"Номенклатура","Комплект доп. полок ""Локер""- (ШК 1000)","Вариант_исполнения","Белый снег","Ширина","1000","Глубина","512","Высота","2200")</f>
        <v>1880</v>
      </c>
      <c r="I17" s="175">
        <f>GETPIVOTDATA("Значение",Локер1!$AV$6,"Номенклатура","Комплект доп. полок ""Локер""- (ШК 1000)","Вариант_исполнения","Дуб табачный","Ширина","1000","Глубина","512","Высота","2200")</f>
        <v>2050</v>
      </c>
    </row>
    <row r="18" spans="1:9" ht="36" customHeight="1" x14ac:dyDescent="0.3">
      <c r="A18" s="700"/>
      <c r="B18" s="710"/>
      <c r="C18" s="710"/>
      <c r="D18" s="710"/>
      <c r="E18" s="710" t="s">
        <v>796</v>
      </c>
      <c r="F18" s="710"/>
      <c r="G18" s="305" t="s">
        <v>97</v>
      </c>
      <c r="H18" s="309">
        <f>GETPIVOTDATA("Значение",Лист1!$K$3,"Вариант_исполнения","Белый снег","Серия","Модуль универсальный","Ширина","600","Глубина","600","Высота","388","Комплектующая","Модуль")</f>
        <v>3430</v>
      </c>
      <c r="I18" s="310">
        <f>GETPIVOTDATA("Значение",Лист1!$K$3,"Вариант_исполнения","Бетон","Серия","Модуль универсальный","Ширина","600","Глубина","600","Высота","388","Комплектующая","Модуль")</f>
        <v>3840</v>
      </c>
    </row>
    <row r="19" spans="1:9" ht="42" customHeight="1" x14ac:dyDescent="0.3">
      <c r="A19" s="700"/>
      <c r="B19" s="710"/>
      <c r="C19" s="710"/>
      <c r="D19" s="710"/>
      <c r="E19" s="710"/>
      <c r="F19" s="710"/>
      <c r="G19" s="306">
        <v>1214</v>
      </c>
      <c r="H19" s="306">
        <f>GETPIVOTDATA("Значение",Лист1!$K$3,"Вариант_исполнения","Белый снег","Серия","Модуль универсальный","Ширина","600","Глубина","440","Высота","388","Комплектующая","Модуль")</f>
        <v>2780</v>
      </c>
      <c r="I19" s="311">
        <f>GETPIVOTDATA("Значение",Лист1!$K$3,"Вариант_исполнения","Бетон","Серия","Модуль универсальный","Ширина","600","Глубина","440","Высота","388","Комплектующая","Модуль")</f>
        <v>3110</v>
      </c>
    </row>
    <row r="20" spans="1:9" ht="18" customHeight="1" x14ac:dyDescent="0.3">
      <c r="A20" s="700"/>
      <c r="B20" s="714" t="s">
        <v>795</v>
      </c>
      <c r="C20" s="714"/>
      <c r="D20" s="714"/>
      <c r="E20" s="714"/>
      <c r="F20" s="714"/>
      <c r="G20" s="702"/>
      <c r="H20" s="702"/>
      <c r="I20" s="703"/>
    </row>
    <row r="21" spans="1:9" ht="18" customHeight="1" thickBot="1" x14ac:dyDescent="0.35">
      <c r="A21" s="701"/>
      <c r="B21" s="711" t="s">
        <v>990</v>
      </c>
      <c r="C21" s="712"/>
      <c r="D21" s="712"/>
      <c r="E21" s="712"/>
      <c r="F21" s="713"/>
      <c r="G21" s="704">
        <f>GETPIVOTDATA("Значение",Локер1!$J:$V,"Номенклатура","Ручка ""Локер""","Вариант_исполнения","осн","Серия","Локер","Ширина",,"Глубина","1","Высота",,"Комплектующая","Фурнитура Локер")</f>
        <v>590</v>
      </c>
      <c r="H21" s="704"/>
      <c r="I21" s="705"/>
    </row>
    <row r="22" spans="1:9" ht="17.25" customHeight="1" thickBot="1" x14ac:dyDescent="0.35">
      <c r="A22" s="698" t="s">
        <v>3</v>
      </c>
      <c r="B22" s="706" t="s">
        <v>109</v>
      </c>
      <c r="C22" s="707"/>
      <c r="D22" s="694" t="s">
        <v>108</v>
      </c>
      <c r="E22" s="695"/>
      <c r="F22" s="696" t="s">
        <v>1092</v>
      </c>
      <c r="G22" s="697"/>
      <c r="H22" s="187"/>
      <c r="I22" s="187"/>
    </row>
    <row r="23" spans="1:9" ht="18" customHeight="1" x14ac:dyDescent="0.3">
      <c r="A23" s="698"/>
      <c r="B23" s="188"/>
      <c r="C23" s="185"/>
      <c r="D23" s="181"/>
      <c r="E23" s="182"/>
      <c r="F23" s="189"/>
      <c r="G23" s="190"/>
      <c r="H23" s="187"/>
      <c r="I23" s="187"/>
    </row>
    <row r="24" spans="1:9" ht="63.75" customHeight="1" thickBot="1" x14ac:dyDescent="0.35">
      <c r="A24" s="699"/>
      <c r="B24" s="191"/>
      <c r="C24" s="186"/>
      <c r="D24" s="183"/>
      <c r="E24" s="184"/>
      <c r="F24" s="192"/>
      <c r="G24" s="3"/>
      <c r="H24" s="186"/>
      <c r="I24" s="186"/>
    </row>
  </sheetData>
  <mergeCells count="38">
    <mergeCell ref="H6:I6"/>
    <mergeCell ref="B7:D7"/>
    <mergeCell ref="E7:F7"/>
    <mergeCell ref="B11:D12"/>
    <mergeCell ref="E11:F12"/>
    <mergeCell ref="G5:G6"/>
    <mergeCell ref="H1:H2"/>
    <mergeCell ref="I1:I2"/>
    <mergeCell ref="H3:H4"/>
    <mergeCell ref="I3:I4"/>
    <mergeCell ref="H5:I5"/>
    <mergeCell ref="A1:A4"/>
    <mergeCell ref="C1:F1"/>
    <mergeCell ref="D3:E3"/>
    <mergeCell ref="D4:E4"/>
    <mergeCell ref="A5:A6"/>
    <mergeCell ref="B5:D6"/>
    <mergeCell ref="E5:F6"/>
    <mergeCell ref="A8:A12"/>
    <mergeCell ref="E15:F17"/>
    <mergeCell ref="B21:F21"/>
    <mergeCell ref="B20:F20"/>
    <mergeCell ref="B15:D17"/>
    <mergeCell ref="B18:D19"/>
    <mergeCell ref="E18:F19"/>
    <mergeCell ref="E8:F10"/>
    <mergeCell ref="B8:D10"/>
    <mergeCell ref="B14:D14"/>
    <mergeCell ref="E14:F14"/>
    <mergeCell ref="B13:D13"/>
    <mergeCell ref="E13:F13"/>
    <mergeCell ref="D22:E22"/>
    <mergeCell ref="F22:G22"/>
    <mergeCell ref="A22:A24"/>
    <mergeCell ref="A15:A21"/>
    <mergeCell ref="G20:I20"/>
    <mergeCell ref="G21:I21"/>
    <mergeCell ref="B22:C22"/>
  </mergeCells>
  <pageMargins left="0.25" right="0.25" top="0.75" bottom="0.75" header="0.3" footer="0.3"/>
  <pageSetup paperSize="9" scale="7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7E4C2-11E5-4B41-9701-00917B1E08ED}">
  <dimension ref="A1:K22"/>
  <sheetViews>
    <sheetView showGridLines="0" zoomScaleNormal="100" zoomScaleSheetLayoutView="55" workbookViewId="0">
      <pane xSplit="5" ySplit="4" topLeftCell="F14" activePane="bottomRight" state="frozen"/>
      <selection pane="topRight" activeCell="F1" sqref="F1"/>
      <selection pane="bottomLeft" activeCell="A5" sqref="A5"/>
      <selection pane="bottomRight" activeCell="K18" sqref="K18:L18"/>
    </sheetView>
  </sheetViews>
  <sheetFormatPr defaultColWidth="9.109375" defaultRowHeight="14.4" customHeight="1" x14ac:dyDescent="0.3"/>
  <cols>
    <col min="1" max="1" width="4.6640625" customWidth="1"/>
    <col min="2" max="2" width="15" customWidth="1"/>
    <col min="3" max="8" width="17.6640625" customWidth="1"/>
    <col min="9" max="18" width="9.109375" customWidth="1"/>
  </cols>
  <sheetData>
    <row r="1" spans="1:11" ht="41.25" customHeight="1" x14ac:dyDescent="0.3">
      <c r="A1" s="193"/>
      <c r="B1" s="193"/>
      <c r="C1" s="734" t="s">
        <v>1087</v>
      </c>
      <c r="D1" s="734"/>
      <c r="E1" s="734"/>
      <c r="F1" s="734"/>
      <c r="G1" s="734"/>
      <c r="H1" s="193"/>
    </row>
    <row r="2" spans="1:11" ht="16.5" customHeight="1" thickBot="1" x14ac:dyDescent="0.35">
      <c r="A2" s="194"/>
      <c r="B2" s="194"/>
      <c r="C2" s="194"/>
      <c r="D2" s="194"/>
      <c r="E2" s="194"/>
      <c r="F2" s="194"/>
      <c r="G2" s="195" t="s">
        <v>25</v>
      </c>
      <c r="H2" s="196">
        <v>45536</v>
      </c>
    </row>
    <row r="3" spans="1:11" ht="15" customHeight="1" thickTop="1" x14ac:dyDescent="0.3">
      <c r="A3" s="735" t="s">
        <v>861</v>
      </c>
      <c r="B3" s="736"/>
      <c r="C3" s="739" t="s">
        <v>23</v>
      </c>
      <c r="D3" s="740"/>
      <c r="E3" s="743" t="s">
        <v>132</v>
      </c>
      <c r="F3" s="744" t="s">
        <v>46</v>
      </c>
      <c r="G3" s="745" t="s">
        <v>20</v>
      </c>
      <c r="H3" s="746"/>
    </row>
    <row r="4" spans="1:11" ht="24" customHeight="1" thickBot="1" x14ac:dyDescent="0.35">
      <c r="A4" s="737"/>
      <c r="B4" s="738"/>
      <c r="C4" s="741"/>
      <c r="D4" s="742"/>
      <c r="E4" s="423"/>
      <c r="F4" s="377"/>
      <c r="G4" s="197" t="s">
        <v>92</v>
      </c>
      <c r="H4" s="198" t="s">
        <v>112</v>
      </c>
    </row>
    <row r="5" spans="1:11" ht="40.5" customHeight="1" x14ac:dyDescent="0.3">
      <c r="A5" s="747" t="s">
        <v>862</v>
      </c>
      <c r="B5" s="748"/>
      <c r="C5" s="753"/>
      <c r="D5" s="755"/>
      <c r="E5" s="757">
        <v>507</v>
      </c>
      <c r="F5" s="199">
        <v>300</v>
      </c>
      <c r="G5" s="202">
        <f>GETPIVOTDATA("Значение",Локер1!$AV$6,"Номенклатура","Корпус стеллажа ""Локер"" (2200х300х507)","Вариант_исполнения","Белый снег","Ширина","300","Глубина","507","Высота","2200")</f>
        <v>5020</v>
      </c>
      <c r="H5" s="287">
        <f>GETPIVOTDATA("Значение",Локер1!$AV$6,"Номенклатура","Корпус стеллажа ""Локер"" (2200х300х507)","Вариант_исполнения","Дуб табачный","Ширина","300","Глубина","507","Высота","2200")</f>
        <v>5630</v>
      </c>
    </row>
    <row r="6" spans="1:11" ht="40.5" customHeight="1" x14ac:dyDescent="0.3">
      <c r="A6" s="749"/>
      <c r="B6" s="750"/>
      <c r="C6" s="754"/>
      <c r="D6" s="756"/>
      <c r="E6" s="758"/>
      <c r="F6" s="200">
        <v>424</v>
      </c>
      <c r="G6" s="201">
        <f>GETPIVOTDATA("Значение",Локер1!$AV$6,"Номенклатура","Корпус стеллажа ""Локер"" (2200х424х507)","Вариант_исполнения","Белый снег","Ширина","400","Глубина","507","Высота","2200")</f>
        <v>6180</v>
      </c>
      <c r="H6" s="288">
        <f>GETPIVOTDATA("Значение",Локер1!$AV$6,"Номенклатура","Корпус стеллажа ""Локер"" (2200х424х507)","Вариант_исполнения","Дуб табачный","Ширина","400","Глубина","507","Высота","2200")</f>
        <v>6920</v>
      </c>
    </row>
    <row r="7" spans="1:11" ht="27" customHeight="1" x14ac:dyDescent="0.3">
      <c r="A7" s="749"/>
      <c r="B7" s="750"/>
      <c r="C7" s="759"/>
      <c r="D7" s="760"/>
      <c r="E7" s="763">
        <v>507</v>
      </c>
      <c r="F7" s="255" t="s">
        <v>1064</v>
      </c>
      <c r="G7" s="202">
        <f>GETPIVOTDATA("Значение",Локер1!$AV$6,"Номенклатура","Корпус шкафа ""Локер"" (2200х608х507)","Вариант_исполнения","Белый снег","Ширина","600","Глубина","525","Высота","2200")</f>
        <v>4590</v>
      </c>
      <c r="H7" s="287">
        <f>GETPIVOTDATA("Значение",Локер1!$AV$6,"Номенклатура","Корпус шкафа ""Локер"" (2200х608х507)","Вариант_исполнения","Дуб табачный","Ширина","600","Глубина","525","Высота","2200")</f>
        <v>5180</v>
      </c>
    </row>
    <row r="8" spans="1:11" ht="27" customHeight="1" x14ac:dyDescent="0.3">
      <c r="A8" s="749"/>
      <c r="B8" s="750"/>
      <c r="C8" s="759"/>
      <c r="D8" s="761"/>
      <c r="E8" s="764"/>
      <c r="F8" s="203">
        <v>808</v>
      </c>
      <c r="G8" s="202">
        <f>GETPIVOTDATA("Значение",Локер1!$AV$6,"Номенклатура","Корпус шкафа ""Локер"" (2200х808х507)","Вариант_исполнения","Белый снег","Ширина","800","Глубина","525","Высота","2200")</f>
        <v>5180</v>
      </c>
      <c r="H8" s="288">
        <f>GETPIVOTDATA("Значение",Локер1!$AV$6,"Номенклатура","Корпус шкафа ""Локер"" (2200х808х507)","Вариант_исполнения","Дуб табачный","Ширина","800","Глубина","525","Высота","2200")</f>
        <v>5810</v>
      </c>
    </row>
    <row r="9" spans="1:11" ht="27" customHeight="1" x14ac:dyDescent="0.3">
      <c r="A9" s="749"/>
      <c r="B9" s="750"/>
      <c r="C9" s="759"/>
      <c r="D9" s="762"/>
      <c r="E9" s="765"/>
      <c r="F9" s="204">
        <v>1008</v>
      </c>
      <c r="G9" s="202">
        <f>GETPIVOTDATA("Значение",Локер1!$AV$6,"Номенклатура","Корпус шкафа ""Локер"" (2200х1008х507)","Вариант_исполнения","Белый снег","Ширина","1000","Глубина","525","Высота","2200")</f>
        <v>5860</v>
      </c>
      <c r="H9" s="289">
        <f>GETPIVOTDATA("Значение",Локер1!$AV$6,"Номенклатура","Корпус шкафа ""Локер"" (2200х1008х507)","Вариант_исполнения","Дуб табачный","Ширина","1000","Глубина","525","Высота","2200")</f>
        <v>6560</v>
      </c>
    </row>
    <row r="10" spans="1:11" ht="81" customHeight="1" x14ac:dyDescent="0.3">
      <c r="A10" s="751"/>
      <c r="B10" s="752"/>
      <c r="C10" s="205"/>
      <c r="D10" s="206"/>
      <c r="E10" s="207">
        <v>507</v>
      </c>
      <c r="F10" s="208">
        <v>1214</v>
      </c>
      <c r="G10" s="209">
        <f>GETPIVOTDATA("Значение",Локер1!$AV$6,"Номенклатура","Корпус шкафа ""Локер"" (2200х1214х507)","Вариант_исполнения","Белый снег","Ширина","1200","Глубина",,"Высота","2200")</f>
        <v>7650</v>
      </c>
      <c r="H10" s="290">
        <f>GETPIVOTDATA("Значение",Локер1!$AV$6,"Номенклатура","Корпус шкафа ""Локер"" (2200х1214х507)","Вариант_исполнения","Дуб табачный","Ширина","1200","Глубина",,"Высота","2200")</f>
        <v>8560</v>
      </c>
    </row>
    <row r="11" spans="1:11" ht="81" customHeight="1" x14ac:dyDescent="0.3">
      <c r="A11" s="766" t="s">
        <v>863</v>
      </c>
      <c r="B11" s="767"/>
      <c r="C11" s="205"/>
      <c r="D11" s="210"/>
      <c r="E11" s="211">
        <v>507</v>
      </c>
      <c r="F11" s="254" t="s">
        <v>976</v>
      </c>
      <c r="G11" s="209">
        <f>GETPIVOTDATA("Значение",Локер1!$AV$6,"Номенклатура","Корпус стеллажа ""Локер"" углового (2200х952х952)","Вариант_исполнения","Белый снег","Ширина","955","Глубина","955","Высота","2200")</f>
        <v>11540</v>
      </c>
      <c r="H11" s="290">
        <f>GETPIVOTDATA("Значение",Локер1!$AV$6,"Номенклатура","Корпус стеллажа ""Локер"" углового (2200х952х952)","Вариант_исполнения","Дуб табачный","Ширина","955","Глубина","955","Высота","2200")</f>
        <v>12930</v>
      </c>
    </row>
    <row r="12" spans="1:11" ht="81" customHeight="1" x14ac:dyDescent="0.3">
      <c r="A12" s="768" t="s">
        <v>864</v>
      </c>
      <c r="B12" s="769"/>
      <c r="C12" s="212"/>
      <c r="D12" s="213"/>
      <c r="E12" s="214">
        <v>507</v>
      </c>
      <c r="F12" s="214">
        <v>1800</v>
      </c>
      <c r="G12" s="209">
        <f>GETPIVOTDATA("Значение",Локер1!$AV$6,"Номенклатура","Прямая гардеробная система ""Локер"" (2200х1800х507)","Вариант_исполнения","Белый снег","Ширина","1800","Глубина",,"Высота","2200")</f>
        <v>16200</v>
      </c>
      <c r="H12" s="290">
        <f>GETPIVOTDATA("Значение",Локер1!$AV$6,"Номенклатура","Прямая гардеробная система ""Локер"" (2200х1800х507)","Вариант_исполнения","Дуб табачный","Ширина","1800","Глубина",,"Высота","2200")</f>
        <v>18150</v>
      </c>
    </row>
    <row r="13" spans="1:11" ht="81" customHeight="1" thickBot="1" x14ac:dyDescent="0.35">
      <c r="A13" s="770" t="s">
        <v>865</v>
      </c>
      <c r="B13" s="771"/>
      <c r="C13" s="215"/>
      <c r="D13" s="216"/>
      <c r="E13" s="217">
        <v>507</v>
      </c>
      <c r="F13" s="217" t="s">
        <v>866</v>
      </c>
      <c r="G13" s="291">
        <f>GETPIVOTDATA("Значение",Локер1!$AV$6,"Номенклатура","Угловая гардеробная система ""Локер"" (2200х1955х1945)","Вариант_исполнения","Белый снег","Ширина","1955","Глубина","1945","Высота","2200")</f>
        <v>29310</v>
      </c>
      <c r="H13" s="292">
        <f>GETPIVOTDATA("Значение",Локер1!$AV$6,"Номенклатура","Угловая гардеробная система ""Локер"" (2200х1955х1945)","Вариант_исполнения","Дуб табачный","Ширина","1955","Глубина","1945","Высота","2200")</f>
        <v>32830</v>
      </c>
      <c r="K13" s="168"/>
    </row>
    <row r="14" spans="1:11" ht="23.4" customHeight="1" thickTop="1" thickBot="1" x14ac:dyDescent="0.35">
      <c r="A14" s="256"/>
      <c r="B14" s="252"/>
      <c r="C14" s="257"/>
      <c r="D14" s="253"/>
      <c r="E14" s="775" t="s">
        <v>974</v>
      </c>
      <c r="F14" s="776"/>
      <c r="G14" s="258">
        <f>GETPIVOTDATA("Значение",Локер1!$AV$6,"Номенклатура","Дверь шкафа распашного ""Локер"" - ДСП/2200х608 (ШК 600)","Вариант_исполнения","Белый снег","Ширина","600","Глубина",,"Высота",)+GETPIVOTDATA("Значение",Локер1!$J$2,"Номенклатура","Упаковка фурнитуры ""Локер"" - Распашной/(ШК600)","Вариант_исполнения","Осн","Серия","Локер","Ширина","600","Глубина",,"Высота",,"Комплектующая","Фурнитура Локер")</f>
        <v>2760</v>
      </c>
      <c r="H14" s="258">
        <f>GETPIVOTDATA("Значение",Локер1!$AV$6,"Номенклатура","Дверь шкафа распашного ""Локер"" - ДСП/2200х608 (ШК 600)","Вариант_исполнения","Дуб табачный","Ширина","600","Глубина",,"Высота",)+GETPIVOTDATA("Значение",Локер1!$J$2,"Номенклатура","Упаковка фурнитуры ""Локер"" - Распашной/(ШК600)","Вариант_исполнения","Осн","Серия","Локер","Ширина","600","Глубина",,"Высота",,"Комплектующая","Фурнитура Локер")</f>
        <v>3000</v>
      </c>
      <c r="K14" s="168"/>
    </row>
    <row r="15" spans="1:11" ht="24" customHeight="1" thickTop="1" x14ac:dyDescent="0.3">
      <c r="A15" s="772" t="s">
        <v>7</v>
      </c>
      <c r="B15" s="774" t="s">
        <v>867</v>
      </c>
      <c r="C15" s="803"/>
      <c r="D15" s="786"/>
      <c r="E15" s="789">
        <v>608</v>
      </c>
      <c r="F15" s="790"/>
      <c r="G15" s="218">
        <f>GETPIVOTDATA("Значение",Локер1!$AV$6,"Номенклатура","Комплект доп. полок ""Локер""- (ШК 600)","Вариант_исполнения","Белый снег","Ширина","600","Глубина","530","Высота","2200")</f>
        <v>1200</v>
      </c>
      <c r="H15" s="219">
        <f>GETPIVOTDATA("Значение",Локер1!$AV$6,"Номенклатура","Комплект доп. полок ""Локер""- (ШК 600)","Вариант_исполнения","Дуб табачный","Ширина","600","Глубина","530","Высота","2200")</f>
        <v>1370</v>
      </c>
    </row>
    <row r="16" spans="1:11" ht="24" customHeight="1" x14ac:dyDescent="0.3">
      <c r="A16" s="773"/>
      <c r="B16" s="774"/>
      <c r="C16" s="804"/>
      <c r="D16" s="787"/>
      <c r="E16" s="791">
        <v>808</v>
      </c>
      <c r="F16" s="792"/>
      <c r="G16" s="220">
        <f>GETPIVOTDATA("Значение",Локер1!$AV$6,"Номенклатура","Комплект доп. полок ""Локер""- (ШК 800)","Вариант_исполнения","Белый снег","Ширина","800","Глубина","530","Высота","2200")</f>
        <v>1530</v>
      </c>
      <c r="H16" s="221">
        <f>GETPIVOTDATA("Значение",Локер1!$AV$6,"Номенклатура","Комплект доп. полок ""Локер""- (ШК 800)","Вариант_исполнения","Дуб табачный","Ширина","800","Глубина","530","Высота","2200")</f>
        <v>1720</v>
      </c>
    </row>
    <row r="17" spans="1:9" ht="24" customHeight="1" x14ac:dyDescent="0.3">
      <c r="A17" s="773"/>
      <c r="B17" s="774"/>
      <c r="C17" s="805"/>
      <c r="D17" s="788"/>
      <c r="E17" s="793">
        <v>1008</v>
      </c>
      <c r="F17" s="794"/>
      <c r="G17" s="222">
        <f>GETPIVOTDATA("Значение",Локер1!$AV$6,"Номенклатура","Комплект доп. полок ""Локер""- (ШК 1000)","Вариант_исполнения","Белый снег","Ширина","1000","Глубина","512","Высота","2200")</f>
        <v>1880</v>
      </c>
      <c r="H17" s="223">
        <f>GETPIVOTDATA("Значение",Локер1!$AV$6,"Номенклатура","Комплект доп. полок ""Локер""- (ШК 1000)","Вариант_исполнения","Дуб табачный","Ширина","1000","Глубина","512","Высота","2200")</f>
        <v>2050</v>
      </c>
    </row>
    <row r="18" spans="1:9" ht="35.4" customHeight="1" x14ac:dyDescent="0.3">
      <c r="A18" s="773"/>
      <c r="B18" s="795" t="s">
        <v>868</v>
      </c>
      <c r="C18" s="797"/>
      <c r="D18" s="786"/>
      <c r="E18" s="799">
        <v>608</v>
      </c>
      <c r="F18" s="800"/>
      <c r="G18" s="224">
        <f>GETPIVOTDATA("Значение",Лист1!$K$3,"Вариант_исполнения","Белый снег","Серия","Модуль универсальный","Ширина","600","Глубина","600","Высота","388","Комплектующая","Модуль")</f>
        <v>3430</v>
      </c>
      <c r="H18" s="225">
        <f>GETPIVOTDATA("Значение",Лист1!$K$3,"Вариант_исполнения","Бетон","Серия","Модуль универсальный","Ширина","600","Глубина","600","Высота","388","Комплектующая","Модуль")</f>
        <v>3840</v>
      </c>
    </row>
    <row r="19" spans="1:9" ht="35.4" customHeight="1" thickBot="1" x14ac:dyDescent="0.35">
      <c r="A19" s="773"/>
      <c r="B19" s="796"/>
      <c r="C19" s="798"/>
      <c r="D19" s="787"/>
      <c r="E19" s="801">
        <v>808</v>
      </c>
      <c r="F19" s="802"/>
      <c r="G19" s="312">
        <f>GETPIVOTDATA("Значение",Лист1!$K$3,"Вариант_исполнения","Белый снег","Серия","Модуль универсальный","Ширина","600","Глубина","440","Высота","388","Комплектующая","Модуль")</f>
        <v>2780</v>
      </c>
      <c r="H19" s="226">
        <f>GETPIVOTDATA("Значение",Лист1!$K$3,"Вариант_исполнения","Бетон","Серия","Модуль универсальный","Ширина","600","Глубина","440","Высота","388","Комплектующая","Модуль")</f>
        <v>3110</v>
      </c>
    </row>
    <row r="20" spans="1:9" ht="17.25" customHeight="1" thickBot="1" x14ac:dyDescent="0.35">
      <c r="A20" s="777" t="s">
        <v>3</v>
      </c>
      <c r="B20" s="778"/>
      <c r="C20" s="783" t="s">
        <v>1063</v>
      </c>
      <c r="D20" s="783"/>
      <c r="E20" s="783"/>
      <c r="F20" s="783"/>
      <c r="G20" s="784">
        <v>1214</v>
      </c>
      <c r="H20" s="785"/>
      <c r="I20" s="168"/>
    </row>
    <row r="21" spans="1:9" ht="30" customHeight="1" x14ac:dyDescent="0.3">
      <c r="A21" s="779"/>
      <c r="B21" s="780"/>
      <c r="C21" s="227" t="s">
        <v>869</v>
      </c>
      <c r="D21" s="228" t="s">
        <v>867</v>
      </c>
      <c r="E21" s="228" t="s">
        <v>116</v>
      </c>
      <c r="F21" s="229" t="s">
        <v>870</v>
      </c>
      <c r="G21" s="230" t="s">
        <v>869</v>
      </c>
      <c r="H21" s="313" t="s">
        <v>116</v>
      </c>
      <c r="I21" s="231"/>
    </row>
    <row r="22" spans="1:9" ht="81" customHeight="1" thickBot="1" x14ac:dyDescent="0.35">
      <c r="A22" s="781"/>
      <c r="B22" s="782"/>
      <c r="C22" s="314"/>
      <c r="D22" s="315"/>
      <c r="E22" s="315"/>
      <c r="F22" s="316"/>
      <c r="G22" s="317"/>
      <c r="H22" s="318"/>
    </row>
  </sheetData>
  <mergeCells count="32">
    <mergeCell ref="E14:F14"/>
    <mergeCell ref="A20:B22"/>
    <mergeCell ref="C20:F20"/>
    <mergeCell ref="G20:H20"/>
    <mergeCell ref="D15:D17"/>
    <mergeCell ref="E15:F15"/>
    <mergeCell ref="E16:F16"/>
    <mergeCell ref="E17:F17"/>
    <mergeCell ref="B18:B19"/>
    <mergeCell ref="C18:C19"/>
    <mergeCell ref="D18:D19"/>
    <mergeCell ref="E18:F18"/>
    <mergeCell ref="E19:F19"/>
    <mergeCell ref="C15:C17"/>
    <mergeCell ref="A11:B11"/>
    <mergeCell ref="A12:B12"/>
    <mergeCell ref="A13:B13"/>
    <mergeCell ref="A15:A19"/>
    <mergeCell ref="B15:B17"/>
    <mergeCell ref="A5:B10"/>
    <mergeCell ref="C5:C6"/>
    <mergeCell ref="D5:D6"/>
    <mergeCell ref="E5:E6"/>
    <mergeCell ref="C7:C9"/>
    <mergeCell ref="D7:D9"/>
    <mergeCell ref="E7:E9"/>
    <mergeCell ref="C1:G1"/>
    <mergeCell ref="A3:B4"/>
    <mergeCell ref="C3:D4"/>
    <mergeCell ref="E3:E4"/>
    <mergeCell ref="F3:F4"/>
    <mergeCell ref="G3:H3"/>
  </mergeCells>
  <pageMargins left="0.25" right="0.25" top="0.75" bottom="0.75" header="0.3" footer="0.3"/>
  <pageSetup paperSize="9" scale="6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60317-9B7F-4A46-9D40-C1611433C6E7}">
  <sheetPr codeName="Лист10"/>
  <dimension ref="A1:J37"/>
  <sheetViews>
    <sheetView showGridLines="0" zoomScale="85" zoomScaleNormal="85" zoomScaleSheetLayoutView="100" workbookViewId="0">
      <pane ySplit="6" topLeftCell="A7" activePane="bottomLeft" state="frozen"/>
      <selection activeCell="K21" sqref="K21"/>
      <selection pane="bottomLeft" activeCell="Q7" sqref="Q7"/>
    </sheetView>
  </sheetViews>
  <sheetFormatPr defaultColWidth="9.109375" defaultRowHeight="14.4" customHeight="1" x14ac:dyDescent="0.3"/>
  <cols>
    <col min="1" max="1" width="12.33203125" customWidth="1"/>
    <col min="2" max="2" width="17.109375" customWidth="1"/>
    <col min="3" max="3" width="13.6640625" customWidth="1"/>
    <col min="4" max="4" width="22.6640625" bestFit="1" customWidth="1"/>
    <col min="5" max="5" width="22.33203125" customWidth="1"/>
    <col min="6" max="6" width="14.44140625" customWidth="1"/>
    <col min="7" max="7" width="5.33203125" customWidth="1"/>
    <col min="8" max="8" width="13.88671875" customWidth="1"/>
    <col min="9" max="9" width="21.6640625" bestFit="1" customWidth="1"/>
    <col min="10" max="10" width="21.109375" customWidth="1"/>
    <col min="11" max="20" width="9.109375" customWidth="1"/>
  </cols>
  <sheetData>
    <row r="1" spans="1:10" ht="15" customHeight="1" x14ac:dyDescent="0.3">
      <c r="A1" s="830"/>
      <c r="B1" s="137" t="s">
        <v>780</v>
      </c>
      <c r="C1" s="825" t="s">
        <v>1088</v>
      </c>
      <c r="D1" s="826"/>
      <c r="E1" s="826"/>
      <c r="F1" s="826"/>
      <c r="G1" s="833"/>
      <c r="H1" s="834"/>
      <c r="I1" s="841" t="s">
        <v>782</v>
      </c>
      <c r="J1" s="843"/>
    </row>
    <row r="2" spans="1:10" ht="15" customHeight="1" x14ac:dyDescent="0.3">
      <c r="A2" s="831"/>
      <c r="B2" s="304" t="s">
        <v>52</v>
      </c>
      <c r="C2" s="304" t="s">
        <v>51</v>
      </c>
      <c r="D2" s="304"/>
      <c r="G2" s="835"/>
      <c r="H2" s="836"/>
      <c r="I2" s="842"/>
      <c r="J2" s="844"/>
    </row>
    <row r="3" spans="1:10" ht="15" customHeight="1" x14ac:dyDescent="0.3">
      <c r="A3" s="831"/>
      <c r="B3" s="135"/>
      <c r="C3" s="136"/>
      <c r="D3" s="824" t="s">
        <v>25</v>
      </c>
      <c r="E3" s="824"/>
      <c r="F3" s="39">
        <v>45536</v>
      </c>
      <c r="G3" s="835"/>
      <c r="H3" s="836"/>
      <c r="I3" s="841" t="s">
        <v>783</v>
      </c>
      <c r="J3" s="843"/>
    </row>
    <row r="4" spans="1:10" ht="15.75" customHeight="1" thickBot="1" x14ac:dyDescent="0.35">
      <c r="A4" s="832"/>
      <c r="B4" s="127"/>
      <c r="C4" s="62"/>
      <c r="D4" s="823"/>
      <c r="E4" s="823"/>
      <c r="F4" s="61"/>
      <c r="G4" s="837"/>
      <c r="H4" s="838"/>
      <c r="I4" s="842"/>
      <c r="J4" s="844"/>
    </row>
    <row r="5" spans="1:10" ht="20.25" customHeight="1" thickBot="1" x14ac:dyDescent="0.35">
      <c r="A5" s="822"/>
      <c r="B5" s="822"/>
      <c r="C5" s="822"/>
      <c r="D5" s="822"/>
      <c r="E5" s="822"/>
      <c r="F5" s="839" t="s">
        <v>50</v>
      </c>
      <c r="G5" s="840"/>
      <c r="H5" s="839" t="s">
        <v>49</v>
      </c>
      <c r="I5" s="840"/>
      <c r="J5" s="60" t="s">
        <v>48</v>
      </c>
    </row>
    <row r="6" spans="1:10" ht="45" customHeight="1" thickBot="1" x14ac:dyDescent="0.35">
      <c r="A6" s="59" t="s">
        <v>47</v>
      </c>
      <c r="B6" s="673" t="s">
        <v>23</v>
      </c>
      <c r="C6" s="675"/>
      <c r="D6" s="58" t="s">
        <v>22</v>
      </c>
      <c r="E6" s="57" t="s">
        <v>46</v>
      </c>
      <c r="F6" s="827" t="s">
        <v>802</v>
      </c>
      <c r="G6" s="828" t="s">
        <v>802</v>
      </c>
      <c r="H6" s="828" t="s">
        <v>802</v>
      </c>
      <c r="I6" s="828" t="s">
        <v>802</v>
      </c>
      <c r="J6" s="829" t="s">
        <v>802</v>
      </c>
    </row>
    <row r="7" spans="1:10" ht="21" customHeight="1" x14ac:dyDescent="0.3">
      <c r="A7" s="683" t="s">
        <v>40</v>
      </c>
      <c r="B7" s="809"/>
      <c r="C7" s="809"/>
      <c r="D7" s="806" t="s">
        <v>45</v>
      </c>
      <c r="E7" s="51" t="s">
        <v>38</v>
      </c>
      <c r="F7" s="854">
        <f>GETPIVOTDATA("Значение",Лист1!$BB:$BF,"Вариант_исполнения","Белый снег/Серебро","Ширина","583","Высота","2252","Комплектующая","Дверь-купе")</f>
        <v>4710</v>
      </c>
      <c r="G7" s="855"/>
      <c r="H7" s="854">
        <f>GETPIVOTDATA("Значение",Лист1!$BB:$BF,"Вариант_исполнения","Белый снег/Серебро","Ширина","583","Высота","2452","Комплектующая","Дверь-купе")</f>
        <v>5400</v>
      </c>
      <c r="I7" s="855"/>
      <c r="J7" s="50"/>
    </row>
    <row r="8" spans="1:10" ht="21" customHeight="1" x14ac:dyDescent="0.3">
      <c r="A8" s="684"/>
      <c r="B8" s="810"/>
      <c r="C8" s="810"/>
      <c r="D8" s="807"/>
      <c r="E8" s="49" t="s">
        <v>37</v>
      </c>
      <c r="F8" s="856">
        <f>GETPIVOTDATA("Значение",Лист1!$BB:$BF,"Вариант_исполнения","Белый снег/Серебро","Ширина","683","Высота","2252","Комплектующая","Дверь-купе")</f>
        <v>5170</v>
      </c>
      <c r="G8" s="857"/>
      <c r="H8" s="856">
        <f>GETPIVOTDATA("Значение",Лист1!$BB:$BF,"Вариант_исполнения","Белый снег/Серебро","Ширина","683","Высота","2452","Комплектующая","Дверь-купе")</f>
        <v>5500</v>
      </c>
      <c r="I8" s="857"/>
      <c r="J8" s="48">
        <f>GETPIVOTDATA("Значение",Лист1!$BB:$BF,"Вариант_исполнения","Белый снег/Серебро","Ширина","683","Высота","2552","Комплектующая","Дверь-купе")</f>
        <v>5880</v>
      </c>
    </row>
    <row r="9" spans="1:10" ht="21" customHeight="1" x14ac:dyDescent="0.3">
      <c r="A9" s="684"/>
      <c r="B9" s="810"/>
      <c r="C9" s="810"/>
      <c r="D9" s="807"/>
      <c r="E9" s="49" t="s">
        <v>36</v>
      </c>
      <c r="F9" s="856">
        <f>GETPIVOTDATA("Значение",Лист1!$BB:$BF,"Вариант_исполнения","Белый снег/Серебро","Ширина","783","Высота","2252","Комплектующая","Дверь-купе")</f>
        <v>5500</v>
      </c>
      <c r="G9" s="857"/>
      <c r="H9" s="856">
        <f>GETPIVOTDATA("Значение",Лист1!$BB:$BF,"Вариант_исполнения","Белый снег/Серебро","Ширина","783","Высота","2452","Комплектующая","Дверь-купе")</f>
        <v>5880</v>
      </c>
      <c r="I9" s="857"/>
      <c r="J9" s="48">
        <f>GETPIVOTDATA("Значение",Лист1!$BB:$BF,"Вариант_исполнения","Белый снег/Серебро","Ширина","783","Высота","2552","Комплектующая","Дверь-купе")</f>
        <v>6110</v>
      </c>
    </row>
    <row r="10" spans="1:10" ht="21" customHeight="1" thickBot="1" x14ac:dyDescent="0.35">
      <c r="A10" s="685"/>
      <c r="B10" s="811"/>
      <c r="C10" s="811"/>
      <c r="D10" s="808"/>
      <c r="E10" s="47" t="s">
        <v>35</v>
      </c>
      <c r="F10" s="858">
        <f>GETPIVOTDATA("Значение",Лист1!$BB:$BF,"Вариант_исполнения","Белый снег/Серебро","Ширина","883","Высота","2252","Комплектующая","Дверь-купе")</f>
        <v>5880</v>
      </c>
      <c r="G10" s="859"/>
      <c r="H10" s="858">
        <f>GETPIVOTDATA("Значение",Лист1!$BB:$BF,"Вариант_исполнения","Белый снег/Серебро","Ширина","883","Высота","2452","Комплектующая","Дверь-купе")</f>
        <v>6460</v>
      </c>
      <c r="I10" s="859"/>
      <c r="J10" s="46">
        <f>GETPIVOTDATA("Значение",Лист1!$BB:$BF,"Вариант_исполнения","Белый снег/Серебро","Ширина","883","Высота","2552","Комплектующая","Дверь-купе")</f>
        <v>6930</v>
      </c>
    </row>
    <row r="11" spans="1:10" ht="42.75" customHeight="1" thickBot="1" x14ac:dyDescent="0.35">
      <c r="A11" s="815"/>
      <c r="B11" s="816"/>
      <c r="C11" s="816"/>
      <c r="D11" s="816"/>
      <c r="E11" s="817"/>
      <c r="F11" s="863" t="s">
        <v>813</v>
      </c>
      <c r="G11" s="864" t="s">
        <v>803</v>
      </c>
      <c r="H11" s="864" t="s">
        <v>803</v>
      </c>
      <c r="I11" s="864" t="s">
        <v>803</v>
      </c>
      <c r="J11" s="865" t="s">
        <v>803</v>
      </c>
    </row>
    <row r="12" spans="1:10" ht="18.600000000000001" x14ac:dyDescent="0.3">
      <c r="A12" s="683" t="s">
        <v>40</v>
      </c>
      <c r="B12" s="809"/>
      <c r="C12" s="809"/>
      <c r="D12" s="806" t="s">
        <v>44</v>
      </c>
      <c r="E12" s="56" t="s">
        <v>38</v>
      </c>
      <c r="F12" s="854">
        <f>GETPIVOTDATA("Значение",Лист1!$BB:$BF,"Вариант_исполнения","Дуб Крафт табачный/Бронза","Ширина","583","Высота","2252","Комплектующая","Дверь-купе")</f>
        <v>5080</v>
      </c>
      <c r="G12" s="855"/>
      <c r="H12" s="854">
        <f>GETPIVOTDATA("Значение",Лист1!$BB:$BF,"Вариант_исполнения","Дуб Крафт табачный/Бронза","Ширина","583","Высота","2452","Комплектующая","Дверь-купе")</f>
        <v>5680</v>
      </c>
      <c r="I12" s="855"/>
      <c r="J12" s="50"/>
    </row>
    <row r="13" spans="1:10" ht="18.600000000000001" x14ac:dyDescent="0.3">
      <c r="A13" s="684"/>
      <c r="B13" s="810"/>
      <c r="C13" s="810"/>
      <c r="D13" s="807"/>
      <c r="E13" s="55" t="s">
        <v>37</v>
      </c>
      <c r="F13" s="856">
        <f>GETPIVOTDATA("Значение",Лист1!$BB:$BF,"Вариант_исполнения","Дуб Крафт табачный/Бронза","Ширина","683","Высота","2252","Комплектующая","Дверь-купе")</f>
        <v>5430</v>
      </c>
      <c r="G13" s="857"/>
      <c r="H13" s="856">
        <f>GETPIVOTDATA("Значение",Лист1!$BB:$BF,"Вариант_исполнения","Дуб Крафт табачный/Бронза","Ширина","683","Высота","2452","Комплектующая","Дверь-купе")</f>
        <v>5800</v>
      </c>
      <c r="I13" s="857"/>
      <c r="J13" s="48">
        <f>GETPIVOTDATA("Значение",Лист1!$BB:$BF,"Вариант_исполнения","Дуб Крафт табачный/Бронза","Ширина","683","Высота","2552","Комплектующая","Дверь-купе")</f>
        <v>6040</v>
      </c>
    </row>
    <row r="14" spans="1:10" ht="18.600000000000001" x14ac:dyDescent="0.3">
      <c r="A14" s="684"/>
      <c r="B14" s="810"/>
      <c r="C14" s="810"/>
      <c r="D14" s="807"/>
      <c r="E14" s="55" t="s">
        <v>36</v>
      </c>
      <c r="F14" s="856">
        <f>GETPIVOTDATA("Значение",Лист1!$BB:$BF,"Вариант_исполнения","Дуб Крафт табачный/Бронза","Ширина","783","Высота","2252","Комплектующая","Дверь-купе")</f>
        <v>5680</v>
      </c>
      <c r="G14" s="857"/>
      <c r="H14" s="856">
        <f>GETPIVOTDATA("Значение",Лист1!$BB:$BF,"Вариант_исполнения","Дуб Крафт табачный/Бронза","Ширина","783","Высота","2452","Комплектующая","Дверь-купе")</f>
        <v>6040</v>
      </c>
      <c r="I14" s="857"/>
      <c r="J14" s="48">
        <f>GETPIVOTDATA("Значение",Лист1!$BB:$BF,"Вариант_исполнения","Дуб Крафт табачный/Бронза","Ширина","783","Высота","2552","Комплектующая","Дверь-купе")</f>
        <v>6390</v>
      </c>
    </row>
    <row r="15" spans="1:10" ht="19.2" thickBot="1" x14ac:dyDescent="0.35">
      <c r="A15" s="685"/>
      <c r="B15" s="811"/>
      <c r="C15" s="811"/>
      <c r="D15" s="808"/>
      <c r="E15" s="54" t="s">
        <v>35</v>
      </c>
      <c r="F15" s="858">
        <f>GETPIVOTDATA("Значение",Лист1!$BB:$BF,"Вариант_исполнения","Дуб Крафт табачный/Бронза","Ширина","883","Высота","2252","Комплектующая","Дверь-купе")</f>
        <v>6040</v>
      </c>
      <c r="G15" s="859"/>
      <c r="H15" s="858">
        <f>GETPIVOTDATA("Значение",Лист1!$BB:$BF,"Вариант_исполнения","Дуб Крафт табачный/Бронза","Ширина","883","Высота","2452","Комплектующая","Дверь-купе")</f>
        <v>6640</v>
      </c>
      <c r="I15" s="859"/>
      <c r="J15" s="46">
        <f>GETPIVOTDATA("Значение",Лист1!$BB:$BF,"Вариант_исполнения","Дуб Крафт табачный/Бронза","Ширина","883","Высота","2552","Комплектующая","Дверь-купе")</f>
        <v>7110</v>
      </c>
    </row>
    <row r="16" spans="1:10" ht="21" customHeight="1" thickBot="1" x14ac:dyDescent="0.35">
      <c r="A16" s="812"/>
      <c r="B16" s="813"/>
      <c r="C16" s="813"/>
      <c r="D16" s="813"/>
      <c r="E16" s="814"/>
      <c r="F16" s="860" t="s">
        <v>43</v>
      </c>
      <c r="G16" s="861"/>
      <c r="H16" s="861"/>
      <c r="I16" s="861"/>
      <c r="J16" s="862"/>
    </row>
    <row r="17" spans="1:10" ht="18" customHeight="1" x14ac:dyDescent="0.3">
      <c r="A17" s="683" t="s">
        <v>40</v>
      </c>
      <c r="B17" s="809"/>
      <c r="C17" s="809"/>
      <c r="D17" s="806" t="s">
        <v>42</v>
      </c>
      <c r="E17" s="51" t="s">
        <v>38</v>
      </c>
      <c r="F17" s="854">
        <f>GETPIVOTDATA("Значение",Лист1!$BB:$BF,"Вариант_исполнения","Осн/Серебро","Ширина","583","Высота","2252","Комплектующая","Дверь-купе")</f>
        <v>5400</v>
      </c>
      <c r="G17" s="855"/>
      <c r="H17" s="854">
        <f>GETPIVOTDATA("Значение",Лист1!$BB:$BF,"Вариант_исполнения","Осн/Серебро","Ширина","583","Высота","2452","Комплектующая","Дверь-купе")</f>
        <v>6460</v>
      </c>
      <c r="I17" s="855"/>
      <c r="J17" s="50"/>
    </row>
    <row r="18" spans="1:10" ht="18.600000000000001" x14ac:dyDescent="0.3">
      <c r="A18" s="684"/>
      <c r="B18" s="810"/>
      <c r="C18" s="810"/>
      <c r="D18" s="807"/>
      <c r="E18" s="49" t="s">
        <v>37</v>
      </c>
      <c r="F18" s="856">
        <f>GETPIVOTDATA("Значение",Лист1!$BB:$BF,"Вариант_исполнения","Осн/Серебро","Ширина","683","Высота","2252","Комплектующая","Дверь-купе")</f>
        <v>5880</v>
      </c>
      <c r="G18" s="857"/>
      <c r="H18" s="856">
        <f>GETPIVOTDATA("Значение",Лист1!$BB:$BF,"Вариант_исполнения","Осн/Серебро","Ширина","683","Высота","2452","Комплектующая","Дверь-купе")</f>
        <v>7040</v>
      </c>
      <c r="I18" s="857"/>
      <c r="J18" s="53">
        <f>GETPIVOTDATA("Значение",Лист1!$BB:$BF,"Вариант_исполнения","Осн/Серебро","Ширина","683","Высота","2552","Комплектующая","Дверь-купе")</f>
        <v>7630</v>
      </c>
    </row>
    <row r="19" spans="1:10" ht="18.600000000000001" x14ac:dyDescent="0.3">
      <c r="A19" s="684"/>
      <c r="B19" s="810"/>
      <c r="C19" s="810"/>
      <c r="D19" s="807"/>
      <c r="E19" s="49" t="s">
        <v>36</v>
      </c>
      <c r="F19" s="856">
        <f>GETPIVOTDATA("Значение",Лист1!$BB:$BF,"Вариант_исполнения","Осн/Серебро","Ширина","783","Высота","2252","Комплектующая","Дверь-купе")</f>
        <v>6580</v>
      </c>
      <c r="G19" s="857"/>
      <c r="H19" s="856">
        <f>GETPIVOTDATA("Значение",Лист1!$BB:$BF,"Вариант_исполнения","Осн/Серебро","Ширина","783","Высота","2452","Комплектующая","Дверь-купе")</f>
        <v>7630</v>
      </c>
      <c r="I19" s="857"/>
      <c r="J19" s="53">
        <f>GETPIVOTDATA("Значение",Лист1!$BB:$BF,"Вариант_исполнения","Осн/Серебро","Ширина","783","Высота","2552","Комплектующая","Дверь-купе")</f>
        <v>8090</v>
      </c>
    </row>
    <row r="20" spans="1:10" ht="19.2" thickBot="1" x14ac:dyDescent="0.35">
      <c r="A20" s="685"/>
      <c r="B20" s="811"/>
      <c r="C20" s="811"/>
      <c r="D20" s="808"/>
      <c r="E20" s="47" t="s">
        <v>35</v>
      </c>
      <c r="F20" s="858">
        <f>GETPIVOTDATA("Значение",Лист1!$BB:$BF,"Вариант_исполнения","Осн/Серебро","Ширина","883","Высота","2252","Комплектующая","Дверь-купе")</f>
        <v>7630</v>
      </c>
      <c r="G20" s="859"/>
      <c r="H20" s="858">
        <f>GETPIVOTDATA("Значение",Лист1!$BB:$BF,"Вариант_исполнения","Осн/Серебро","Ширина","883","Высота","2452","Комплектующая","Дверь-купе")</f>
        <v>8090</v>
      </c>
      <c r="I20" s="859"/>
      <c r="J20" s="52">
        <f>GETPIVOTDATA("Значение",Лист1!$BB:$BF,"Вариант_исполнения","Осн/Серебро","Ширина","883","Высота","2552","Комплектующая","Дверь-купе")</f>
        <v>8700</v>
      </c>
    </row>
    <row r="21" spans="1:10" ht="24.75" customHeight="1" thickBot="1" x14ac:dyDescent="0.35">
      <c r="A21" s="815"/>
      <c r="B21" s="816"/>
      <c r="C21" s="816"/>
      <c r="D21" s="816"/>
      <c r="E21" s="817"/>
      <c r="F21" s="860" t="s">
        <v>41</v>
      </c>
      <c r="G21" s="861"/>
      <c r="H21" s="861"/>
      <c r="I21" s="861"/>
      <c r="J21" s="862"/>
    </row>
    <row r="22" spans="1:10" ht="21" customHeight="1" x14ac:dyDescent="0.3">
      <c r="A22" s="683" t="s">
        <v>40</v>
      </c>
      <c r="B22" s="809"/>
      <c r="C22" s="809"/>
      <c r="D22" s="806" t="s">
        <v>39</v>
      </c>
      <c r="E22" s="51" t="s">
        <v>38</v>
      </c>
      <c r="F22" s="854">
        <f>GETPIVOTDATA("Значение",Лист1!$BB:$BF,"Вариант_исполнения","Осн/Белый профиль","Ширина","583","Высота","2252","Комплектующая","Дверь-купе")</f>
        <v>5880</v>
      </c>
      <c r="G22" s="855"/>
      <c r="H22" s="854">
        <f>GETPIVOTDATA("Значение",Лист1!$BB:$BF,"Вариант_исполнения","Осн/Белый профиль","Ширина","583","Высота","2452","Комплектующая","Дверь-купе")</f>
        <v>7040</v>
      </c>
      <c r="I22" s="855"/>
      <c r="J22" s="50"/>
    </row>
    <row r="23" spans="1:10" ht="21" customHeight="1" x14ac:dyDescent="0.3">
      <c r="A23" s="684"/>
      <c r="B23" s="810"/>
      <c r="C23" s="810"/>
      <c r="D23" s="807"/>
      <c r="E23" s="49" t="s">
        <v>37</v>
      </c>
      <c r="F23" s="856">
        <f>GETPIVOTDATA("Значение",Лист1!$BB:$BF,"Вариант_исполнения","Осн/Белый профиль","Ширина","683","Высота","2252","Комплектующая","Дверь-купе")</f>
        <v>6460</v>
      </c>
      <c r="G23" s="857"/>
      <c r="H23" s="856">
        <f>GETPIVOTDATA("Значение",Лист1!$BB:$BF,"Вариант_исполнения","Осн/Белый профиль","Ширина","683","Высота","2452","Комплектующая","Дверь-купе")</f>
        <v>7740</v>
      </c>
      <c r="I23" s="857"/>
      <c r="J23" s="48">
        <f>GETPIVOTDATA("Значение",Лист1!$BB:$BF,"Вариант_исполнения","Осн/Белый профиль","Ширина","683","Высота","2552","Комплектующая","Дверь-купе")</f>
        <v>8220</v>
      </c>
    </row>
    <row r="24" spans="1:10" ht="21" customHeight="1" x14ac:dyDescent="0.3">
      <c r="A24" s="684"/>
      <c r="B24" s="810"/>
      <c r="C24" s="810"/>
      <c r="D24" s="807"/>
      <c r="E24" s="49" t="s">
        <v>36</v>
      </c>
      <c r="F24" s="856">
        <f>GETPIVOTDATA("Значение",Лист1!$BB:$BF,"Вариант_исполнения","Осн/Белый профиль","Ширина","783","Высота","2252","Комплектующая","Дверь-купе")</f>
        <v>7040</v>
      </c>
      <c r="G24" s="857"/>
      <c r="H24" s="856">
        <f>GETPIVOTDATA("Значение",Лист1!$BB:$BF,"Вариант_исполнения","Осн/Белый профиль","Ширина","783","Высота","2452","Комплектующая","Дверь-купе")</f>
        <v>8220</v>
      </c>
      <c r="I24" s="857"/>
      <c r="J24" s="48">
        <f>GETPIVOTDATA("Значение",Лист1!$BB:$BF,"Вариант_исполнения","Осн/Белый профиль","Ширина","783","Высота","2552","Комплектующая","Дверь-купе")</f>
        <v>8800</v>
      </c>
    </row>
    <row r="25" spans="1:10" ht="21" customHeight="1" thickBot="1" x14ac:dyDescent="0.35">
      <c r="A25" s="685"/>
      <c r="B25" s="811"/>
      <c r="C25" s="811"/>
      <c r="D25" s="808"/>
      <c r="E25" s="47" t="s">
        <v>35</v>
      </c>
      <c r="F25" s="858">
        <f>GETPIVOTDATA("Значение",Лист1!$BB:$BF,"Вариант_исполнения","Осн/Белый профиль","Ширина","883","Высота","2252","Комплектующая","Дверь-купе")</f>
        <v>8220</v>
      </c>
      <c r="G25" s="859"/>
      <c r="H25" s="858">
        <f>GETPIVOTDATA("Значение",Лист1!$BB:$BF,"Вариант_исполнения","Осн/Белый профиль","Ширина","883","Высота","2452","Комплектующая","Дверь-купе")</f>
        <v>8800</v>
      </c>
      <c r="I25" s="859"/>
      <c r="J25" s="46">
        <f>GETPIVOTDATA("Значение",Лист1!$BB:$BF,"Вариант_исполнения","Осн/Белый профиль","Ширина","883","Высота","2552","Комплектующая","Дверь-купе")</f>
        <v>9380</v>
      </c>
    </row>
    <row r="26" spans="1:10" ht="18" customHeight="1" x14ac:dyDescent="0.45">
      <c r="A26" s="683" t="s">
        <v>33</v>
      </c>
      <c r="B26" s="818"/>
      <c r="C26" s="819"/>
      <c r="D26" s="806" t="s">
        <v>34</v>
      </c>
      <c r="E26" s="45" t="s">
        <v>32</v>
      </c>
      <c r="F26" s="845">
        <f>GETPIVOTDATA("Значение",Лист1!$BB:$BF,"Вариант_исполнения","Серебро","Ширина","1180","Высота","","Комплектующая","Направляющие")</f>
        <v>1750</v>
      </c>
      <c r="G26" s="846"/>
      <c r="H26" s="846"/>
      <c r="I26" s="846"/>
      <c r="J26" s="847"/>
    </row>
    <row r="27" spans="1:10" ht="18" customHeight="1" x14ac:dyDescent="0.45">
      <c r="A27" s="684"/>
      <c r="B27" s="820"/>
      <c r="C27" s="821"/>
      <c r="D27" s="807"/>
      <c r="E27" s="44" t="s">
        <v>31</v>
      </c>
      <c r="F27" s="848">
        <f>GETPIVOTDATA("Значение",Лист1!$BB:$BF,"Вариант_исполнения","Серебро","Ширина","1380","Высота","","Комплектующая","Направляющие")</f>
        <v>1970</v>
      </c>
      <c r="G27" s="849"/>
      <c r="H27" s="849"/>
      <c r="I27" s="849"/>
      <c r="J27" s="850"/>
    </row>
    <row r="28" spans="1:10" ht="18" customHeight="1" x14ac:dyDescent="0.45">
      <c r="A28" s="684"/>
      <c r="B28" s="820"/>
      <c r="C28" s="821"/>
      <c r="D28" s="807"/>
      <c r="E28" s="44" t="s">
        <v>30</v>
      </c>
      <c r="F28" s="848">
        <f>GETPIVOTDATA("Значение",Лист1!$BB:$BF,"Вариант_исполнения","Серебро","Ширина","1580","Высота","","Комплектующая","Направляющие")</f>
        <v>2310</v>
      </c>
      <c r="G28" s="849"/>
      <c r="H28" s="849"/>
      <c r="I28" s="849"/>
      <c r="J28" s="850"/>
    </row>
    <row r="29" spans="1:10" ht="18" customHeight="1" x14ac:dyDescent="0.45">
      <c r="A29" s="684"/>
      <c r="B29" s="820"/>
      <c r="C29" s="821"/>
      <c r="D29" s="807"/>
      <c r="E29" s="44" t="s">
        <v>29</v>
      </c>
      <c r="F29" s="848">
        <f>GETPIVOTDATA("Значение",Лист1!$BB:$BF,"Вариант_исполнения","Серебро","Ширина","1760","Высота","","Комплектующая","Направляющие")</f>
        <v>2530</v>
      </c>
      <c r="G29" s="849"/>
      <c r="H29" s="849"/>
      <c r="I29" s="849"/>
      <c r="J29" s="850"/>
    </row>
    <row r="30" spans="1:10" ht="18" customHeight="1" x14ac:dyDescent="0.45">
      <c r="A30" s="684"/>
      <c r="B30" s="820"/>
      <c r="C30" s="821"/>
      <c r="D30" s="807"/>
      <c r="E30" s="44" t="s">
        <v>28</v>
      </c>
      <c r="F30" s="848">
        <f>GETPIVOTDATA("Значение",Лист1!$BB:$BF,"Вариант_исполнения","Серебро","Ширина","2050","Высота","","Комплектующая","Направляющие")</f>
        <v>3000</v>
      </c>
      <c r="G30" s="849"/>
      <c r="H30" s="849"/>
      <c r="I30" s="849"/>
      <c r="J30" s="850"/>
    </row>
    <row r="31" spans="1:10" ht="18" customHeight="1" thickBot="1" x14ac:dyDescent="0.5">
      <c r="A31" s="685"/>
      <c r="B31" s="620"/>
      <c r="C31" s="619"/>
      <c r="D31" s="808"/>
      <c r="E31" s="43" t="s">
        <v>27</v>
      </c>
      <c r="F31" s="851">
        <f>GETPIVOTDATA("Значение",Лист1!$BB:$BF,"Вариант_исполнения","Серебро","Ширина","2700","Высота","","Комплектующая","Направляющие")</f>
        <v>3810</v>
      </c>
      <c r="G31" s="852"/>
      <c r="H31" s="852"/>
      <c r="I31" s="852"/>
      <c r="J31" s="853"/>
    </row>
    <row r="32" spans="1:10" ht="18" customHeight="1" x14ac:dyDescent="0.45">
      <c r="A32" s="683" t="s">
        <v>33</v>
      </c>
      <c r="B32" s="818"/>
      <c r="C32" s="819"/>
      <c r="D32" s="806" t="s">
        <v>814</v>
      </c>
      <c r="E32" s="45" t="s">
        <v>32</v>
      </c>
      <c r="F32" s="845">
        <f>GETPIVOTDATA("Значение",Лист1!$BB:$BF,"Вариант_исполнения","Бронза","Ширина","1180","Высота","","Комплектующая","Направляющие")</f>
        <v>1860</v>
      </c>
      <c r="G32" s="846"/>
      <c r="H32" s="846"/>
      <c r="I32" s="846"/>
      <c r="J32" s="847"/>
    </row>
    <row r="33" spans="1:10" ht="18" customHeight="1" x14ac:dyDescent="0.45">
      <c r="A33" s="684"/>
      <c r="B33" s="820"/>
      <c r="C33" s="821"/>
      <c r="D33" s="807"/>
      <c r="E33" s="44" t="s">
        <v>31</v>
      </c>
      <c r="F33" s="848">
        <f>GETPIVOTDATA("Значение",Лист1!$BB:$BF,"Вариант_исполнения","Бронза","Ширина","1380","Высота","","Комплектующая","Направляющие")</f>
        <v>2200</v>
      </c>
      <c r="G33" s="849"/>
      <c r="H33" s="849"/>
      <c r="I33" s="849"/>
      <c r="J33" s="850"/>
    </row>
    <row r="34" spans="1:10" ht="18" customHeight="1" x14ac:dyDescent="0.45">
      <c r="A34" s="684"/>
      <c r="B34" s="820"/>
      <c r="C34" s="821"/>
      <c r="D34" s="807"/>
      <c r="E34" s="44" t="s">
        <v>30</v>
      </c>
      <c r="F34" s="848">
        <f>GETPIVOTDATA("Значение",Лист1!$BB:$BF,"Вариант_исполнения","Бронза","Ширина","1580","Высота","","Комплектующая","Направляющие")</f>
        <v>2530</v>
      </c>
      <c r="G34" s="849"/>
      <c r="H34" s="849"/>
      <c r="I34" s="849"/>
      <c r="J34" s="850"/>
    </row>
    <row r="35" spans="1:10" ht="18" customHeight="1" x14ac:dyDescent="0.45">
      <c r="A35" s="684"/>
      <c r="B35" s="820"/>
      <c r="C35" s="821"/>
      <c r="D35" s="807"/>
      <c r="E35" s="44" t="s">
        <v>29</v>
      </c>
      <c r="F35" s="848">
        <f>GETPIVOTDATA("Значение",Лист1!$BB:$BF,"Вариант_исполнения","Бронза","Ширина","1760","Высота","","Комплектующая","Направляющие")</f>
        <v>2890</v>
      </c>
      <c r="G35" s="849"/>
      <c r="H35" s="849"/>
      <c r="I35" s="849"/>
      <c r="J35" s="850"/>
    </row>
    <row r="36" spans="1:10" ht="18" customHeight="1" x14ac:dyDescent="0.45">
      <c r="A36" s="684"/>
      <c r="B36" s="820"/>
      <c r="C36" s="821"/>
      <c r="D36" s="807"/>
      <c r="E36" s="44" t="s">
        <v>28</v>
      </c>
      <c r="F36" s="848">
        <f>GETPIVOTDATA("Значение",Лист1!$BB:$BF,"Вариант_исполнения","Бронза","Ширина","2050","Высота","","Комплектующая","Направляющие")</f>
        <v>3230</v>
      </c>
      <c r="G36" s="849"/>
      <c r="H36" s="849"/>
      <c r="I36" s="849"/>
      <c r="J36" s="850"/>
    </row>
    <row r="37" spans="1:10" ht="18" customHeight="1" thickBot="1" x14ac:dyDescent="0.5">
      <c r="A37" s="685"/>
      <c r="B37" s="620"/>
      <c r="C37" s="619"/>
      <c r="D37" s="808"/>
      <c r="E37" s="43" t="s">
        <v>27</v>
      </c>
      <c r="F37" s="851">
        <f>GETPIVOTDATA("Значение",Лист1!$BB:$BF,"Вариант_исполнения","Бронза","Ширина","2700","Высота","","Комплектующая","Направляющие")</f>
        <v>4150</v>
      </c>
      <c r="G37" s="852"/>
      <c r="H37" s="852"/>
      <c r="I37" s="852"/>
      <c r="J37" s="853"/>
    </row>
  </sheetData>
  <mergeCells count="83">
    <mergeCell ref="F25:G25"/>
    <mergeCell ref="H19:I19"/>
    <mergeCell ref="H20:I20"/>
    <mergeCell ref="F19:G19"/>
    <mergeCell ref="F20:G20"/>
    <mergeCell ref="F22:G22"/>
    <mergeCell ref="F21:J21"/>
    <mergeCell ref="F18:G18"/>
    <mergeCell ref="H12:I12"/>
    <mergeCell ref="F11:J11"/>
    <mergeCell ref="F15:G15"/>
    <mergeCell ref="F24:G24"/>
    <mergeCell ref="H18:I18"/>
    <mergeCell ref="H7:I7"/>
    <mergeCell ref="H8:I8"/>
    <mergeCell ref="H9:I9"/>
    <mergeCell ref="H10:I10"/>
    <mergeCell ref="F17:G17"/>
    <mergeCell ref="H17:I17"/>
    <mergeCell ref="H13:I13"/>
    <mergeCell ref="H14:I14"/>
    <mergeCell ref="H15:I15"/>
    <mergeCell ref="F36:J36"/>
    <mergeCell ref="F37:J37"/>
    <mergeCell ref="F5:G5"/>
    <mergeCell ref="F7:G7"/>
    <mergeCell ref="F8:G8"/>
    <mergeCell ref="F9:G9"/>
    <mergeCell ref="F10:G10"/>
    <mergeCell ref="F12:G12"/>
    <mergeCell ref="F13:G13"/>
    <mergeCell ref="F14:G14"/>
    <mergeCell ref="H22:I22"/>
    <mergeCell ref="H23:I23"/>
    <mergeCell ref="H24:I24"/>
    <mergeCell ref="H25:I25"/>
    <mergeCell ref="F16:J16"/>
    <mergeCell ref="F23:G23"/>
    <mergeCell ref="F32:J32"/>
    <mergeCell ref="F33:J33"/>
    <mergeCell ref="F34:J34"/>
    <mergeCell ref="F35:J35"/>
    <mergeCell ref="F26:J26"/>
    <mergeCell ref="F27:J27"/>
    <mergeCell ref="F28:J28"/>
    <mergeCell ref="F29:J29"/>
    <mergeCell ref="F30:J30"/>
    <mergeCell ref="F31:J31"/>
    <mergeCell ref="A5:E5"/>
    <mergeCell ref="D4:E4"/>
    <mergeCell ref="B6:C6"/>
    <mergeCell ref="D3:E3"/>
    <mergeCell ref="C1:F1"/>
    <mergeCell ref="F6:J6"/>
    <mergeCell ref="A1:A4"/>
    <mergeCell ref="G1:H2"/>
    <mergeCell ref="G3:H4"/>
    <mergeCell ref="H5:I5"/>
    <mergeCell ref="I1:I2"/>
    <mergeCell ref="J1:J2"/>
    <mergeCell ref="I3:I4"/>
    <mergeCell ref="J3:J4"/>
    <mergeCell ref="D7:D10"/>
    <mergeCell ref="A7:A10"/>
    <mergeCell ref="B7:C10"/>
    <mergeCell ref="B12:C15"/>
    <mergeCell ref="A12:A15"/>
    <mergeCell ref="D12:D15"/>
    <mergeCell ref="A11:E11"/>
    <mergeCell ref="A32:A37"/>
    <mergeCell ref="D32:D37"/>
    <mergeCell ref="B26:C31"/>
    <mergeCell ref="B32:C37"/>
    <mergeCell ref="A26:A31"/>
    <mergeCell ref="D26:D31"/>
    <mergeCell ref="D17:D20"/>
    <mergeCell ref="A22:A25"/>
    <mergeCell ref="B22:C25"/>
    <mergeCell ref="D22:D25"/>
    <mergeCell ref="A16:E16"/>
    <mergeCell ref="A21:E21"/>
    <mergeCell ref="A17:A20"/>
    <mergeCell ref="B17:C20"/>
  </mergeCells>
  <pageMargins left="0.25" right="0.25" top="0.75" bottom="0.75" header="0.3" footer="0.3"/>
  <pageSetup paperSize="9" scale="6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680C-BDA5-4300-84A4-73289122D8A7}">
  <sheetPr codeName="Лист12"/>
  <dimension ref="A1:BA56"/>
  <sheetViews>
    <sheetView topLeftCell="U13" workbookViewId="0">
      <selection activeCell="K53" sqref="K53"/>
    </sheetView>
  </sheetViews>
  <sheetFormatPr defaultRowHeight="14.4" customHeight="1" x14ac:dyDescent="0.3"/>
  <cols>
    <col min="1" max="1" width="23" customWidth="1"/>
    <col min="2" max="2" width="20.33203125" bestFit="1" customWidth="1"/>
    <col min="3" max="3" width="61.109375" bestFit="1" customWidth="1"/>
    <col min="4" max="5" width="9.5546875" bestFit="1" customWidth="1"/>
    <col min="6" max="6" width="28.21875" bestFit="1" customWidth="1"/>
    <col min="7" max="7" width="13.5546875" bestFit="1" customWidth="1"/>
    <col min="8" max="9" width="6.44140625" customWidth="1"/>
    <col min="10" max="10" width="25" bestFit="1" customWidth="1"/>
    <col min="11" max="11" width="78.109375" customWidth="1"/>
    <col min="12" max="14" width="10.44140625" bestFit="1" customWidth="1"/>
    <col min="15" max="32" width="22.21875" bestFit="1" customWidth="1"/>
    <col min="33" max="33" width="22.33203125" customWidth="1"/>
    <col min="34" max="34" width="24.33203125" bestFit="1" customWidth="1"/>
    <col min="35" max="35" width="31" bestFit="1" customWidth="1"/>
    <col min="38" max="38" width="9.5546875" bestFit="1" customWidth="1"/>
    <col min="39" max="39" width="21.44140625" bestFit="1" customWidth="1"/>
    <col min="40" max="40" width="10.44140625" bestFit="1" customWidth="1"/>
    <col min="41" max="46" width="8.88671875" customWidth="1"/>
    <col min="48" max="48" width="68.88671875" customWidth="1"/>
    <col min="49" max="49" width="6.5546875" customWidth="1"/>
    <col min="50" max="50" width="6.88671875" customWidth="1"/>
    <col min="51" max="51" width="10.44140625" bestFit="1" customWidth="1"/>
    <col min="52" max="52" width="22.21875" bestFit="1" customWidth="1"/>
    <col min="53" max="53" width="13.5546875" bestFit="1" customWidth="1"/>
    <col min="54" max="54" width="11.88671875" bestFit="1" customWidth="1"/>
  </cols>
  <sheetData>
    <row r="1" spans="1:53" ht="14.4" customHeight="1" x14ac:dyDescent="0.3">
      <c r="AH1" s="111" t="s">
        <v>809</v>
      </c>
      <c r="AI1" t="s">
        <v>812</v>
      </c>
    </row>
    <row r="2" spans="1:53" ht="14.4" customHeight="1" x14ac:dyDescent="0.3">
      <c r="A2" s="111" t="s">
        <v>134</v>
      </c>
      <c r="F2" s="111" t="s">
        <v>692</v>
      </c>
      <c r="J2" s="111" t="s">
        <v>134</v>
      </c>
      <c r="O2" s="111" t="s">
        <v>133</v>
      </c>
      <c r="P2" s="111" t="s">
        <v>132</v>
      </c>
    </row>
    <row r="3" spans="1:53" ht="14.4" customHeight="1" x14ac:dyDescent="0.3">
      <c r="A3" s="111" t="s">
        <v>126</v>
      </c>
      <c r="B3" s="111" t="s">
        <v>131</v>
      </c>
      <c r="C3" s="111" t="s">
        <v>130</v>
      </c>
      <c r="D3" s="111" t="s">
        <v>123</v>
      </c>
      <c r="E3" s="111" t="s">
        <v>124</v>
      </c>
      <c r="F3" t="s">
        <v>693</v>
      </c>
      <c r="G3" t="s">
        <v>694</v>
      </c>
      <c r="O3" t="s">
        <v>693</v>
      </c>
      <c r="P3" t="s">
        <v>693</v>
      </c>
      <c r="Q3" t="s">
        <v>693</v>
      </c>
      <c r="R3" t="s">
        <v>693</v>
      </c>
      <c r="S3" t="s">
        <v>693</v>
      </c>
      <c r="T3" t="s">
        <v>693</v>
      </c>
      <c r="U3" t="s">
        <v>91</v>
      </c>
      <c r="V3" t="s">
        <v>91</v>
      </c>
      <c r="W3" t="s">
        <v>91</v>
      </c>
      <c r="X3" t="s">
        <v>91</v>
      </c>
      <c r="Y3" t="s">
        <v>91</v>
      </c>
      <c r="Z3" t="s">
        <v>91</v>
      </c>
      <c r="AA3" t="s">
        <v>890</v>
      </c>
      <c r="AB3" t="s">
        <v>890</v>
      </c>
      <c r="AC3" t="s">
        <v>695</v>
      </c>
      <c r="AD3" t="s">
        <v>695</v>
      </c>
      <c r="AE3" t="s">
        <v>695</v>
      </c>
      <c r="AF3" t="s">
        <v>1065</v>
      </c>
      <c r="AH3" s="111" t="s">
        <v>134</v>
      </c>
      <c r="AM3" s="111" t="s">
        <v>135</v>
      </c>
      <c r="AN3" s="111" t="s">
        <v>132</v>
      </c>
    </row>
    <row r="4" spans="1:53" ht="14.4" customHeight="1" x14ac:dyDescent="0.3">
      <c r="A4" t="s">
        <v>689</v>
      </c>
      <c r="B4" t="s">
        <v>111</v>
      </c>
      <c r="C4" t="s">
        <v>690</v>
      </c>
      <c r="D4">
        <v>800</v>
      </c>
      <c r="E4">
        <v>2200</v>
      </c>
      <c r="F4" s="159">
        <v>8420</v>
      </c>
      <c r="G4" s="159">
        <v>9360</v>
      </c>
      <c r="J4" s="111" t="s">
        <v>126</v>
      </c>
      <c r="K4" s="111" t="s">
        <v>696</v>
      </c>
      <c r="L4" s="111" t="s">
        <v>125</v>
      </c>
      <c r="M4" s="111" t="s">
        <v>124</v>
      </c>
      <c r="N4" s="111" t="s">
        <v>123</v>
      </c>
      <c r="O4" t="s">
        <v>122</v>
      </c>
      <c r="P4" t="s">
        <v>120</v>
      </c>
      <c r="Q4" t="s">
        <v>697</v>
      </c>
      <c r="R4" t="s">
        <v>1044</v>
      </c>
      <c r="S4" t="s">
        <v>708</v>
      </c>
      <c r="T4" t="s">
        <v>752</v>
      </c>
      <c r="U4" t="s">
        <v>122</v>
      </c>
      <c r="V4" t="s">
        <v>120</v>
      </c>
      <c r="W4" t="s">
        <v>697</v>
      </c>
      <c r="X4" t="s">
        <v>1044</v>
      </c>
      <c r="Y4" t="s">
        <v>708</v>
      </c>
      <c r="Z4" t="s">
        <v>752</v>
      </c>
      <c r="AA4" t="s">
        <v>698</v>
      </c>
      <c r="AB4" t="s">
        <v>703</v>
      </c>
      <c r="AD4" t="s">
        <v>698</v>
      </c>
      <c r="AE4" t="s">
        <v>703</v>
      </c>
      <c r="AF4" t="s">
        <v>703</v>
      </c>
      <c r="AM4" t="s">
        <v>129</v>
      </c>
    </row>
    <row r="5" spans="1:53" ht="14.4" customHeight="1" x14ac:dyDescent="0.3">
      <c r="D5">
        <v>1000</v>
      </c>
      <c r="E5">
        <v>2200</v>
      </c>
      <c r="F5" s="159">
        <v>9580</v>
      </c>
      <c r="G5" s="159">
        <v>10650</v>
      </c>
      <c r="J5" t="s">
        <v>117</v>
      </c>
      <c r="K5" t="s">
        <v>822</v>
      </c>
      <c r="L5" t="s">
        <v>116</v>
      </c>
      <c r="M5" t="s">
        <v>115</v>
      </c>
      <c r="N5" t="s">
        <v>119</v>
      </c>
      <c r="O5" s="159"/>
      <c r="P5" s="159">
        <v>2600</v>
      </c>
      <c r="Q5" s="159"/>
      <c r="R5" s="159"/>
      <c r="S5" s="159"/>
      <c r="T5" s="159"/>
      <c r="U5" s="159"/>
      <c r="V5" s="159">
        <v>2920</v>
      </c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11" t="s">
        <v>126</v>
      </c>
      <c r="AI5" s="111" t="s">
        <v>130</v>
      </c>
      <c r="AJ5" s="111" t="s">
        <v>123</v>
      </c>
      <c r="AK5" s="111" t="s">
        <v>131</v>
      </c>
      <c r="AL5" s="111" t="s">
        <v>124</v>
      </c>
      <c r="AM5">
        <v>440</v>
      </c>
    </row>
    <row r="6" spans="1:53" ht="14.4" customHeight="1" x14ac:dyDescent="0.3">
      <c r="D6">
        <v>1200</v>
      </c>
      <c r="E6">
        <v>2200</v>
      </c>
      <c r="F6" s="159">
        <v>12370</v>
      </c>
      <c r="G6" s="159">
        <v>13760</v>
      </c>
      <c r="J6" t="s">
        <v>689</v>
      </c>
      <c r="K6" t="s">
        <v>699</v>
      </c>
      <c r="L6" t="s">
        <v>110</v>
      </c>
      <c r="M6" t="s">
        <v>700</v>
      </c>
      <c r="N6" t="s">
        <v>114</v>
      </c>
      <c r="O6" s="159"/>
      <c r="P6" s="159"/>
      <c r="Q6" s="159">
        <v>1530</v>
      </c>
      <c r="R6" s="159"/>
      <c r="S6" s="159"/>
      <c r="T6" s="159"/>
      <c r="U6" s="159"/>
      <c r="V6" s="159"/>
      <c r="W6" s="159">
        <v>1720</v>
      </c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t="s">
        <v>219</v>
      </c>
      <c r="AI6" t="s">
        <v>751</v>
      </c>
      <c r="AJ6">
        <v>900</v>
      </c>
      <c r="AK6" t="s">
        <v>816</v>
      </c>
      <c r="AL6">
        <v>1900</v>
      </c>
      <c r="AM6" s="159">
        <v>9660</v>
      </c>
      <c r="AV6" s="111" t="s">
        <v>134</v>
      </c>
      <c r="AZ6" s="111" t="s">
        <v>133</v>
      </c>
    </row>
    <row r="7" spans="1:53" ht="14.4" customHeight="1" x14ac:dyDescent="0.3">
      <c r="C7" t="s">
        <v>835</v>
      </c>
      <c r="D7">
        <v>800</v>
      </c>
      <c r="E7">
        <v>2200</v>
      </c>
      <c r="F7" s="159">
        <v>10860</v>
      </c>
      <c r="G7" s="159">
        <v>11490</v>
      </c>
      <c r="J7" t="s">
        <v>689</v>
      </c>
      <c r="K7" t="s">
        <v>701</v>
      </c>
      <c r="L7" t="s">
        <v>702</v>
      </c>
      <c r="M7" t="s">
        <v>703</v>
      </c>
      <c r="N7" t="s">
        <v>703</v>
      </c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>
        <v>590</v>
      </c>
      <c r="AB7" s="159"/>
      <c r="AC7" s="159"/>
      <c r="AD7" s="159"/>
      <c r="AE7" s="159"/>
      <c r="AF7" s="159"/>
      <c r="AG7" s="159"/>
      <c r="AV7" s="111" t="s">
        <v>696</v>
      </c>
      <c r="AW7" s="111" t="s">
        <v>124</v>
      </c>
      <c r="AX7" s="111" t="s">
        <v>132</v>
      </c>
      <c r="AY7" s="111" t="s">
        <v>123</v>
      </c>
      <c r="AZ7" t="s">
        <v>693</v>
      </c>
      <c r="BA7" t="s">
        <v>694</v>
      </c>
    </row>
    <row r="8" spans="1:53" ht="14.4" customHeight="1" x14ac:dyDescent="0.3">
      <c r="D8">
        <v>1000</v>
      </c>
      <c r="E8">
        <v>2200</v>
      </c>
      <c r="F8" s="159">
        <v>12150</v>
      </c>
      <c r="G8" s="159">
        <v>12850</v>
      </c>
      <c r="J8" t="s">
        <v>689</v>
      </c>
      <c r="K8" t="s">
        <v>704</v>
      </c>
      <c r="L8" t="s">
        <v>702</v>
      </c>
      <c r="M8" t="s">
        <v>703</v>
      </c>
      <c r="N8" t="s">
        <v>114</v>
      </c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>
        <v>3230</v>
      </c>
      <c r="AE8" s="159"/>
      <c r="AF8" s="159"/>
      <c r="AG8" s="159"/>
      <c r="AV8" t="s">
        <v>880</v>
      </c>
      <c r="AW8" t="s">
        <v>700</v>
      </c>
      <c r="AX8" t="s">
        <v>697</v>
      </c>
      <c r="AY8" t="s">
        <v>754</v>
      </c>
      <c r="AZ8" s="159">
        <v>3030</v>
      </c>
      <c r="BA8" s="159">
        <v>3400</v>
      </c>
    </row>
    <row r="9" spans="1:53" ht="14.4" customHeight="1" x14ac:dyDescent="0.3">
      <c r="C9" t="s">
        <v>836</v>
      </c>
      <c r="D9">
        <v>800</v>
      </c>
      <c r="E9">
        <v>2200</v>
      </c>
      <c r="F9" s="159">
        <v>10860</v>
      </c>
      <c r="G9" s="159">
        <v>11490</v>
      </c>
      <c r="J9" t="s">
        <v>689</v>
      </c>
      <c r="K9" t="s">
        <v>705</v>
      </c>
      <c r="L9" t="s">
        <v>702</v>
      </c>
      <c r="M9" t="s">
        <v>703</v>
      </c>
      <c r="N9" t="s">
        <v>114</v>
      </c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>
        <v>6630</v>
      </c>
      <c r="AB9" s="159"/>
      <c r="AC9" s="159"/>
      <c r="AD9" s="159"/>
      <c r="AE9" s="159"/>
      <c r="AF9" s="159"/>
      <c r="AG9" s="159"/>
      <c r="AV9" t="s">
        <v>881</v>
      </c>
      <c r="AW9" t="s">
        <v>700</v>
      </c>
      <c r="AX9" t="s">
        <v>697</v>
      </c>
      <c r="AY9" t="s">
        <v>120</v>
      </c>
      <c r="AZ9" s="159">
        <v>2300</v>
      </c>
      <c r="BA9" s="159">
        <v>2640</v>
      </c>
    </row>
    <row r="10" spans="1:53" ht="14.4" customHeight="1" x14ac:dyDescent="0.3">
      <c r="D10">
        <v>1000</v>
      </c>
      <c r="E10">
        <v>2200</v>
      </c>
      <c r="F10" s="159">
        <v>12150</v>
      </c>
      <c r="G10" s="159">
        <v>12850</v>
      </c>
      <c r="J10" t="s">
        <v>689</v>
      </c>
      <c r="K10" t="s">
        <v>706</v>
      </c>
      <c r="L10" t="s">
        <v>702</v>
      </c>
      <c r="M10" t="s">
        <v>703</v>
      </c>
      <c r="N10" t="s">
        <v>114</v>
      </c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>
        <v>6630</v>
      </c>
      <c r="AB10" s="159"/>
      <c r="AC10" s="159"/>
      <c r="AD10" s="159"/>
      <c r="AE10" s="159"/>
      <c r="AF10" s="159"/>
      <c r="AG10" s="159"/>
      <c r="AV10" t="s">
        <v>882</v>
      </c>
      <c r="AW10" t="s">
        <v>700</v>
      </c>
      <c r="AX10" t="s">
        <v>697</v>
      </c>
      <c r="AY10" t="s">
        <v>114</v>
      </c>
      <c r="AZ10" s="159">
        <v>2550</v>
      </c>
      <c r="BA10" s="159">
        <v>2860</v>
      </c>
    </row>
    <row r="11" spans="1:53" ht="14.4" customHeight="1" x14ac:dyDescent="0.3">
      <c r="B11" t="s">
        <v>797</v>
      </c>
      <c r="C11" t="s">
        <v>798</v>
      </c>
      <c r="D11">
        <v>800</v>
      </c>
      <c r="E11">
        <v>2200</v>
      </c>
      <c r="F11" s="159">
        <v>10960</v>
      </c>
      <c r="G11" s="159">
        <v>11900</v>
      </c>
      <c r="J11" t="s">
        <v>689</v>
      </c>
      <c r="K11" t="s">
        <v>786</v>
      </c>
      <c r="L11" t="s">
        <v>110</v>
      </c>
      <c r="M11" t="s">
        <v>700</v>
      </c>
      <c r="N11" t="s">
        <v>120</v>
      </c>
      <c r="O11" s="159"/>
      <c r="P11" s="159"/>
      <c r="Q11" s="159">
        <v>1200</v>
      </c>
      <c r="R11" s="159"/>
      <c r="S11" s="159"/>
      <c r="T11" s="159"/>
      <c r="U11" s="159"/>
      <c r="V11" s="159"/>
      <c r="W11" s="159">
        <v>1370</v>
      </c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V11" t="s">
        <v>883</v>
      </c>
      <c r="AW11" t="s">
        <v>700</v>
      </c>
      <c r="AX11" t="s">
        <v>703</v>
      </c>
      <c r="AY11" t="s">
        <v>754</v>
      </c>
      <c r="AZ11" s="159">
        <v>3660</v>
      </c>
      <c r="BA11" s="159">
        <v>4100</v>
      </c>
    </row>
    <row r="12" spans="1:53" ht="14.4" customHeight="1" x14ac:dyDescent="0.3">
      <c r="D12">
        <v>1000</v>
      </c>
      <c r="E12">
        <v>2200</v>
      </c>
      <c r="F12" s="159">
        <v>12750</v>
      </c>
      <c r="G12" s="159">
        <v>13890</v>
      </c>
      <c r="J12" t="s">
        <v>689</v>
      </c>
      <c r="K12" t="s">
        <v>787</v>
      </c>
      <c r="L12" t="s">
        <v>110</v>
      </c>
      <c r="M12" t="s">
        <v>700</v>
      </c>
      <c r="N12" t="s">
        <v>754</v>
      </c>
      <c r="O12" s="159"/>
      <c r="P12" s="159"/>
      <c r="Q12" s="159"/>
      <c r="R12" s="159">
        <v>1880</v>
      </c>
      <c r="S12" s="159"/>
      <c r="T12" s="159"/>
      <c r="U12" s="159"/>
      <c r="V12" s="159"/>
      <c r="W12" s="159"/>
      <c r="X12" s="159">
        <v>2050</v>
      </c>
      <c r="Y12" s="159"/>
      <c r="Z12" s="159"/>
      <c r="AA12" s="159"/>
      <c r="AB12" s="159"/>
      <c r="AC12" s="159"/>
      <c r="AD12" s="159"/>
      <c r="AE12" s="159"/>
      <c r="AF12" s="159"/>
      <c r="AG12" s="159"/>
      <c r="AV12" t="s">
        <v>884</v>
      </c>
      <c r="AW12" t="s">
        <v>700</v>
      </c>
      <c r="AX12" t="s">
        <v>703</v>
      </c>
      <c r="AY12" t="s">
        <v>120</v>
      </c>
      <c r="AZ12" s="159">
        <v>2300</v>
      </c>
      <c r="BA12" s="159">
        <v>2640</v>
      </c>
    </row>
    <row r="13" spans="1:53" ht="14.4" customHeight="1" x14ac:dyDescent="0.3">
      <c r="C13" t="s">
        <v>810</v>
      </c>
      <c r="D13">
        <v>800</v>
      </c>
      <c r="E13">
        <v>2200</v>
      </c>
      <c r="F13" s="159">
        <v>14360</v>
      </c>
      <c r="G13" s="159">
        <v>15300</v>
      </c>
      <c r="J13" t="s">
        <v>689</v>
      </c>
      <c r="K13" t="s">
        <v>789</v>
      </c>
      <c r="L13" t="s">
        <v>702</v>
      </c>
      <c r="M13" t="s">
        <v>703</v>
      </c>
      <c r="N13" t="s">
        <v>120</v>
      </c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>
        <v>3230</v>
      </c>
      <c r="AC13" s="159"/>
      <c r="AD13" s="159"/>
      <c r="AE13" s="159"/>
      <c r="AF13" s="159"/>
      <c r="AG13" s="159"/>
      <c r="AV13" t="s">
        <v>885</v>
      </c>
      <c r="AW13" t="s">
        <v>700</v>
      </c>
      <c r="AX13" t="s">
        <v>697</v>
      </c>
      <c r="AY13" t="s">
        <v>114</v>
      </c>
      <c r="AZ13" s="159">
        <v>2550</v>
      </c>
      <c r="BA13" s="159">
        <v>2860</v>
      </c>
    </row>
    <row r="14" spans="1:53" ht="14.4" customHeight="1" x14ac:dyDescent="0.3">
      <c r="D14">
        <v>1000</v>
      </c>
      <c r="E14">
        <v>2200</v>
      </c>
      <c r="F14" s="159">
        <v>16150</v>
      </c>
      <c r="G14" s="159">
        <v>17290</v>
      </c>
      <c r="J14" t="s">
        <v>689</v>
      </c>
      <c r="K14" t="s">
        <v>790</v>
      </c>
      <c r="L14" t="s">
        <v>702</v>
      </c>
      <c r="M14" t="s">
        <v>703</v>
      </c>
      <c r="N14" t="s">
        <v>754</v>
      </c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>
        <v>6630</v>
      </c>
      <c r="AC14" s="159"/>
      <c r="AD14" s="159"/>
      <c r="AE14" s="159"/>
      <c r="AF14" s="159"/>
      <c r="AG14" s="159"/>
      <c r="AV14" t="s">
        <v>787</v>
      </c>
      <c r="AW14" t="s">
        <v>700</v>
      </c>
      <c r="AX14" t="s">
        <v>1044</v>
      </c>
      <c r="AY14" t="s">
        <v>754</v>
      </c>
      <c r="AZ14" s="159">
        <v>1880</v>
      </c>
      <c r="BA14" s="159">
        <v>2050</v>
      </c>
    </row>
    <row r="15" spans="1:53" ht="14.4" customHeight="1" x14ac:dyDescent="0.3">
      <c r="C15" t="s">
        <v>811</v>
      </c>
      <c r="D15">
        <v>800</v>
      </c>
      <c r="E15">
        <v>2200</v>
      </c>
      <c r="F15" s="159">
        <v>14360</v>
      </c>
      <c r="G15" s="159">
        <v>15300</v>
      </c>
      <c r="J15" t="s">
        <v>689</v>
      </c>
      <c r="K15" t="s">
        <v>791</v>
      </c>
      <c r="L15" t="s">
        <v>702</v>
      </c>
      <c r="M15" t="s">
        <v>703</v>
      </c>
      <c r="N15" t="s">
        <v>754</v>
      </c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>
        <v>6630</v>
      </c>
      <c r="AC15" s="159"/>
      <c r="AD15" s="159"/>
      <c r="AE15" s="159"/>
      <c r="AF15" s="159"/>
      <c r="AG15" s="159"/>
      <c r="AV15" t="s">
        <v>786</v>
      </c>
      <c r="AW15" t="s">
        <v>700</v>
      </c>
      <c r="AX15" t="s">
        <v>697</v>
      </c>
      <c r="AY15" t="s">
        <v>120</v>
      </c>
      <c r="AZ15" s="159">
        <v>1200</v>
      </c>
      <c r="BA15" s="159">
        <v>1370</v>
      </c>
    </row>
    <row r="16" spans="1:53" ht="14.4" customHeight="1" x14ac:dyDescent="0.3">
      <c r="D16">
        <v>1000</v>
      </c>
      <c r="E16">
        <v>2200</v>
      </c>
      <c r="F16" s="159">
        <v>16150</v>
      </c>
      <c r="G16" s="159">
        <v>17290</v>
      </c>
      <c r="J16" t="s">
        <v>689</v>
      </c>
      <c r="K16" t="s">
        <v>792</v>
      </c>
      <c r="L16" t="s">
        <v>702</v>
      </c>
      <c r="M16" t="s">
        <v>703</v>
      </c>
      <c r="N16" t="s">
        <v>120</v>
      </c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>
        <v>6630</v>
      </c>
      <c r="AC16" s="159"/>
      <c r="AD16" s="159"/>
      <c r="AE16" s="159"/>
      <c r="AF16" s="159"/>
      <c r="AG16" s="159"/>
      <c r="AV16" t="s">
        <v>699</v>
      </c>
      <c r="AW16" t="s">
        <v>700</v>
      </c>
      <c r="AX16" t="s">
        <v>697</v>
      </c>
      <c r="AY16" t="s">
        <v>114</v>
      </c>
      <c r="AZ16" s="159">
        <v>1530</v>
      </c>
      <c r="BA16" s="159">
        <v>1720</v>
      </c>
    </row>
    <row r="17" spans="2:53" ht="14.4" customHeight="1" x14ac:dyDescent="0.3">
      <c r="C17" t="s">
        <v>837</v>
      </c>
      <c r="D17">
        <v>800</v>
      </c>
      <c r="E17">
        <v>2200</v>
      </c>
      <c r="F17" s="159">
        <v>13400</v>
      </c>
      <c r="G17" s="159">
        <v>14030</v>
      </c>
      <c r="J17" t="s">
        <v>689</v>
      </c>
      <c r="K17" t="s">
        <v>793</v>
      </c>
      <c r="L17" t="s">
        <v>702</v>
      </c>
      <c r="M17" t="s">
        <v>703</v>
      </c>
      <c r="N17" t="s">
        <v>120</v>
      </c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>
        <v>6630</v>
      </c>
      <c r="AC17" s="159"/>
      <c r="AD17" s="159"/>
      <c r="AE17" s="159"/>
      <c r="AF17" s="159"/>
      <c r="AG17" s="159"/>
      <c r="AV17" t="s">
        <v>886</v>
      </c>
      <c r="AW17" t="s">
        <v>700</v>
      </c>
      <c r="AX17" t="s">
        <v>872</v>
      </c>
      <c r="AY17" t="s">
        <v>876</v>
      </c>
      <c r="AZ17" s="159">
        <v>29310</v>
      </c>
      <c r="BA17" s="159">
        <v>32830</v>
      </c>
    </row>
    <row r="18" spans="2:53" ht="14.4" customHeight="1" x14ac:dyDescent="0.3">
      <c r="C18" t="s">
        <v>838</v>
      </c>
      <c r="D18">
        <v>800</v>
      </c>
      <c r="E18">
        <v>2200</v>
      </c>
      <c r="F18" s="159">
        <v>13400</v>
      </c>
      <c r="G18" s="159">
        <v>14030</v>
      </c>
      <c r="J18" t="s">
        <v>689</v>
      </c>
      <c r="K18" t="s">
        <v>794</v>
      </c>
      <c r="L18" t="s">
        <v>702</v>
      </c>
      <c r="M18" t="s">
        <v>703</v>
      </c>
      <c r="N18" t="s">
        <v>754</v>
      </c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>
        <v>3230</v>
      </c>
      <c r="AC18" s="159"/>
      <c r="AD18" s="159"/>
      <c r="AE18" s="159"/>
      <c r="AF18" s="159"/>
      <c r="AG18" s="159"/>
      <c r="AV18" t="s">
        <v>888</v>
      </c>
      <c r="AW18" t="s">
        <v>703</v>
      </c>
      <c r="AX18" t="s">
        <v>703</v>
      </c>
      <c r="AY18" t="s">
        <v>120</v>
      </c>
      <c r="AZ18" s="159">
        <v>2070</v>
      </c>
      <c r="BA18" s="159">
        <v>2310</v>
      </c>
    </row>
    <row r="19" spans="2:53" ht="14.4" customHeight="1" x14ac:dyDescent="0.3">
      <c r="B19" t="s">
        <v>1055</v>
      </c>
      <c r="C19" t="s">
        <v>1056</v>
      </c>
      <c r="D19">
        <v>1200</v>
      </c>
      <c r="E19">
        <v>2200</v>
      </c>
      <c r="F19" s="159">
        <v>16220</v>
      </c>
      <c r="G19" s="159">
        <v>17770</v>
      </c>
      <c r="J19" t="s">
        <v>689</v>
      </c>
      <c r="K19" t="s">
        <v>887</v>
      </c>
      <c r="L19" t="s">
        <v>702</v>
      </c>
      <c r="M19" t="s">
        <v>703</v>
      </c>
      <c r="N19" t="s">
        <v>120</v>
      </c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>
        <v>690</v>
      </c>
      <c r="AC19" s="159"/>
      <c r="AD19" s="159"/>
      <c r="AE19" s="159"/>
      <c r="AF19" s="159"/>
      <c r="AG19" s="159"/>
      <c r="AV19" t="s">
        <v>1045</v>
      </c>
      <c r="AW19" t="s">
        <v>700</v>
      </c>
      <c r="AX19" t="s">
        <v>873</v>
      </c>
      <c r="AY19" t="s">
        <v>709</v>
      </c>
      <c r="AZ19" s="159">
        <v>5020</v>
      </c>
      <c r="BA19" s="159">
        <v>5630</v>
      </c>
    </row>
    <row r="20" spans="2:53" ht="14.4" customHeight="1" x14ac:dyDescent="0.3">
      <c r="C20" t="s">
        <v>1057</v>
      </c>
      <c r="D20">
        <v>1000</v>
      </c>
      <c r="E20">
        <v>2200</v>
      </c>
      <c r="F20" s="159">
        <v>16150</v>
      </c>
      <c r="G20" s="159">
        <v>17290</v>
      </c>
      <c r="J20" t="s">
        <v>689</v>
      </c>
      <c r="K20" t="s">
        <v>891</v>
      </c>
      <c r="L20" t="s">
        <v>702</v>
      </c>
      <c r="M20" t="s">
        <v>703</v>
      </c>
      <c r="N20" t="s">
        <v>875</v>
      </c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>
        <v>690</v>
      </c>
      <c r="AC20" s="159"/>
      <c r="AD20" s="159"/>
      <c r="AE20" s="159"/>
      <c r="AF20" s="159"/>
      <c r="AG20" s="159"/>
      <c r="AV20" t="s">
        <v>1046</v>
      </c>
      <c r="AW20" t="s">
        <v>700</v>
      </c>
      <c r="AX20" t="s">
        <v>874</v>
      </c>
      <c r="AY20" t="s">
        <v>114</v>
      </c>
      <c r="AZ20" s="159">
        <v>5180</v>
      </c>
      <c r="BA20" s="159">
        <v>5810</v>
      </c>
    </row>
    <row r="21" spans="2:53" ht="14.4" customHeight="1" x14ac:dyDescent="0.3">
      <c r="C21" t="s">
        <v>1058</v>
      </c>
      <c r="D21">
        <v>1000</v>
      </c>
      <c r="E21">
        <v>2200</v>
      </c>
      <c r="F21" s="159">
        <v>16150</v>
      </c>
      <c r="G21" s="159">
        <v>17290</v>
      </c>
      <c r="J21" t="s">
        <v>689</v>
      </c>
      <c r="K21" t="s">
        <v>1059</v>
      </c>
      <c r="L21" t="s">
        <v>702</v>
      </c>
      <c r="M21" t="s">
        <v>703</v>
      </c>
      <c r="N21" t="s">
        <v>878</v>
      </c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>
        <v>6630</v>
      </c>
      <c r="AC21" s="159"/>
      <c r="AD21" s="159"/>
      <c r="AE21" s="159"/>
      <c r="AF21" s="159"/>
      <c r="AG21" s="159"/>
      <c r="AV21" t="s">
        <v>1047</v>
      </c>
      <c r="AW21" t="s">
        <v>700</v>
      </c>
      <c r="AX21" t="s">
        <v>873</v>
      </c>
      <c r="AY21" t="s">
        <v>877</v>
      </c>
      <c r="AZ21" s="159">
        <v>6180</v>
      </c>
      <c r="BA21" s="159">
        <v>6920</v>
      </c>
    </row>
    <row r="22" spans="2:53" ht="14.4" customHeight="1" x14ac:dyDescent="0.3">
      <c r="J22" t="s">
        <v>689</v>
      </c>
      <c r="K22" t="s">
        <v>1060</v>
      </c>
      <c r="L22" t="s">
        <v>702</v>
      </c>
      <c r="M22" t="s">
        <v>703</v>
      </c>
      <c r="N22" t="s">
        <v>878</v>
      </c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>
        <v>6630</v>
      </c>
      <c r="AC22" s="159"/>
      <c r="AD22" s="159"/>
      <c r="AE22" s="159"/>
      <c r="AF22" s="159"/>
      <c r="AG22" s="159"/>
      <c r="AV22" t="s">
        <v>1048</v>
      </c>
      <c r="AW22" t="s">
        <v>700</v>
      </c>
      <c r="AX22" t="s">
        <v>703</v>
      </c>
      <c r="AY22" t="s">
        <v>879</v>
      </c>
      <c r="AZ22" s="159">
        <v>16200</v>
      </c>
      <c r="BA22" s="159">
        <v>18150</v>
      </c>
    </row>
    <row r="23" spans="2:53" ht="14.4" customHeight="1" x14ac:dyDescent="0.3">
      <c r="J23" t="s">
        <v>689</v>
      </c>
      <c r="K23" t="s">
        <v>1061</v>
      </c>
      <c r="L23" t="s">
        <v>702</v>
      </c>
      <c r="M23" t="s">
        <v>703</v>
      </c>
      <c r="N23" t="s">
        <v>878</v>
      </c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>
        <v>3230</v>
      </c>
      <c r="AC23" s="159"/>
      <c r="AD23" s="159"/>
      <c r="AE23" s="159"/>
      <c r="AF23" s="159"/>
      <c r="AG23" s="159"/>
      <c r="AV23" t="s">
        <v>1049</v>
      </c>
      <c r="AW23" t="s">
        <v>700</v>
      </c>
      <c r="AX23" t="s">
        <v>703</v>
      </c>
      <c r="AY23" t="s">
        <v>878</v>
      </c>
      <c r="AZ23" s="159">
        <v>4030</v>
      </c>
      <c r="BA23" s="159">
        <v>4510</v>
      </c>
    </row>
    <row r="24" spans="2:53" ht="14.4" customHeight="1" x14ac:dyDescent="0.3">
      <c r="J24" t="s">
        <v>689</v>
      </c>
      <c r="K24" t="s">
        <v>1062</v>
      </c>
      <c r="L24" t="s">
        <v>702</v>
      </c>
      <c r="M24" t="s">
        <v>703</v>
      </c>
      <c r="N24" t="s">
        <v>114</v>
      </c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>
        <v>690</v>
      </c>
      <c r="AE24" s="159"/>
      <c r="AF24" s="159"/>
      <c r="AG24" s="159"/>
      <c r="AV24" t="s">
        <v>1050</v>
      </c>
      <c r="AW24" t="s">
        <v>700</v>
      </c>
      <c r="AX24" t="s">
        <v>703</v>
      </c>
      <c r="AY24" t="s">
        <v>878</v>
      </c>
      <c r="AZ24" s="159">
        <v>5340</v>
      </c>
      <c r="BA24" s="159">
        <v>5980</v>
      </c>
    </row>
    <row r="25" spans="2:53" ht="14.4" customHeight="1" x14ac:dyDescent="0.3">
      <c r="J25" t="s">
        <v>892</v>
      </c>
      <c r="K25" t="s">
        <v>893</v>
      </c>
      <c r="L25" t="s">
        <v>892</v>
      </c>
      <c r="M25" t="s">
        <v>707</v>
      </c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>
        <v>3150</v>
      </c>
      <c r="AD25" s="159"/>
      <c r="AE25" s="159"/>
      <c r="AF25" s="159"/>
      <c r="AG25" s="159"/>
      <c r="AV25" t="s">
        <v>1051</v>
      </c>
      <c r="AW25" t="s">
        <v>700</v>
      </c>
      <c r="AX25" t="s">
        <v>875</v>
      </c>
      <c r="AY25" t="s">
        <v>875</v>
      </c>
      <c r="AZ25" s="159">
        <v>11540</v>
      </c>
      <c r="BA25" s="159">
        <v>12930</v>
      </c>
    </row>
    <row r="26" spans="2:53" ht="14.4" customHeight="1" x14ac:dyDescent="0.3">
      <c r="J26" t="s">
        <v>892</v>
      </c>
      <c r="K26" t="s">
        <v>894</v>
      </c>
      <c r="L26" t="s">
        <v>892</v>
      </c>
      <c r="M26" t="s">
        <v>707</v>
      </c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>
        <v>5990</v>
      </c>
      <c r="AD26" s="159"/>
      <c r="AE26" s="159"/>
      <c r="AF26" s="159"/>
      <c r="AG26" s="159"/>
      <c r="AV26" t="s">
        <v>1052</v>
      </c>
      <c r="AW26" t="s">
        <v>700</v>
      </c>
      <c r="AX26" t="s">
        <v>874</v>
      </c>
      <c r="AY26" t="s">
        <v>120</v>
      </c>
      <c r="AZ26" s="159">
        <v>4590</v>
      </c>
      <c r="BA26" s="159">
        <v>5180</v>
      </c>
    </row>
    <row r="27" spans="2:53" ht="14.4" customHeight="1" x14ac:dyDescent="0.3">
      <c r="J27" t="s">
        <v>892</v>
      </c>
      <c r="K27" t="s">
        <v>895</v>
      </c>
      <c r="L27" t="s">
        <v>892</v>
      </c>
      <c r="M27" t="s">
        <v>707</v>
      </c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>
        <v>3050</v>
      </c>
      <c r="AD27" s="159"/>
      <c r="AE27" s="159"/>
      <c r="AF27" s="159"/>
      <c r="AG27" s="159"/>
      <c r="AV27" t="s">
        <v>1053</v>
      </c>
      <c r="AW27" t="s">
        <v>700</v>
      </c>
      <c r="AX27" t="s">
        <v>874</v>
      </c>
      <c r="AY27" t="s">
        <v>754</v>
      </c>
      <c r="AZ27" s="159">
        <v>5860</v>
      </c>
      <c r="BA27" s="159">
        <v>6560</v>
      </c>
    </row>
    <row r="28" spans="2:53" ht="14.4" customHeight="1" x14ac:dyDescent="0.3">
      <c r="J28" t="s">
        <v>892</v>
      </c>
      <c r="K28" t="s">
        <v>896</v>
      </c>
      <c r="L28" t="s">
        <v>892</v>
      </c>
      <c r="M28" t="s">
        <v>707</v>
      </c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>
        <v>3050</v>
      </c>
      <c r="AD28" s="159"/>
      <c r="AE28" s="159"/>
      <c r="AF28" s="159"/>
      <c r="AG28" s="159"/>
      <c r="AV28" t="s">
        <v>1054</v>
      </c>
      <c r="AW28" t="s">
        <v>700</v>
      </c>
      <c r="AX28" t="s">
        <v>703</v>
      </c>
      <c r="AY28" t="s">
        <v>878</v>
      </c>
      <c r="AZ28" s="159">
        <v>7650</v>
      </c>
      <c r="BA28" s="159">
        <v>8560</v>
      </c>
    </row>
    <row r="29" spans="2:53" ht="14.4" customHeight="1" x14ac:dyDescent="0.3">
      <c r="J29" t="s">
        <v>892</v>
      </c>
      <c r="K29" t="s">
        <v>897</v>
      </c>
      <c r="L29" t="s">
        <v>892</v>
      </c>
      <c r="M29" t="s">
        <v>707</v>
      </c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>
        <v>3330</v>
      </c>
      <c r="AD29" s="159"/>
      <c r="AE29" s="159"/>
      <c r="AF29" s="159"/>
      <c r="AG29" s="159"/>
    </row>
    <row r="30" spans="2:53" ht="14.4" customHeight="1" x14ac:dyDescent="0.3">
      <c r="J30" t="s">
        <v>892</v>
      </c>
      <c r="K30" t="s">
        <v>898</v>
      </c>
      <c r="L30" t="s">
        <v>892</v>
      </c>
      <c r="M30" t="s">
        <v>707</v>
      </c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>
        <v>3520</v>
      </c>
      <c r="AD30" s="159"/>
      <c r="AE30" s="159"/>
      <c r="AF30" s="159"/>
      <c r="AG30" s="159"/>
    </row>
    <row r="31" spans="2:53" ht="14.4" customHeight="1" x14ac:dyDescent="0.3">
      <c r="J31" t="s">
        <v>892</v>
      </c>
      <c r="K31" t="s">
        <v>899</v>
      </c>
      <c r="L31" t="s">
        <v>892</v>
      </c>
      <c r="M31" t="s">
        <v>707</v>
      </c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>
        <v>7660</v>
      </c>
      <c r="AD31" s="159"/>
      <c r="AE31" s="159"/>
      <c r="AF31" s="159"/>
      <c r="AG31" s="159"/>
    </row>
    <row r="32" spans="2:53" ht="14.4" customHeight="1" x14ac:dyDescent="0.3">
      <c r="J32" t="s">
        <v>892</v>
      </c>
      <c r="K32" t="s">
        <v>889</v>
      </c>
      <c r="L32" t="s">
        <v>892</v>
      </c>
      <c r="M32" t="s">
        <v>703</v>
      </c>
      <c r="N32" t="s">
        <v>703</v>
      </c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>
        <v>870</v>
      </c>
      <c r="AF32" s="159"/>
      <c r="AG32" s="159"/>
    </row>
    <row r="33" spans="10:33" ht="14.4" customHeight="1" x14ac:dyDescent="0.3">
      <c r="J33" t="s">
        <v>281</v>
      </c>
      <c r="K33" t="s">
        <v>1066</v>
      </c>
      <c r="L33" t="s">
        <v>110</v>
      </c>
      <c r="M33" t="s">
        <v>707</v>
      </c>
      <c r="N33" t="s">
        <v>114</v>
      </c>
      <c r="O33" s="159"/>
      <c r="P33" s="159"/>
      <c r="Q33" s="159"/>
      <c r="R33" s="159"/>
      <c r="S33" s="159">
        <v>1720</v>
      </c>
      <c r="T33" s="159"/>
      <c r="U33" s="159"/>
      <c r="V33" s="159"/>
      <c r="W33" s="159"/>
      <c r="X33" s="159"/>
      <c r="Y33" s="159">
        <v>1920</v>
      </c>
      <c r="Z33" s="159"/>
      <c r="AA33" s="159"/>
      <c r="AB33" s="159"/>
      <c r="AC33" s="159"/>
      <c r="AD33" s="159"/>
      <c r="AE33" s="159"/>
      <c r="AF33" s="159"/>
      <c r="AG33" s="159"/>
    </row>
    <row r="34" spans="10:33" ht="14.4" customHeight="1" x14ac:dyDescent="0.3">
      <c r="J34" t="s">
        <v>281</v>
      </c>
      <c r="K34" t="s">
        <v>1067</v>
      </c>
      <c r="L34" t="s">
        <v>110</v>
      </c>
      <c r="M34" t="s">
        <v>707</v>
      </c>
      <c r="N34" t="s">
        <v>753</v>
      </c>
      <c r="O34" s="159"/>
      <c r="P34" s="159"/>
      <c r="Q34" s="159"/>
      <c r="R34" s="159"/>
      <c r="S34" s="159">
        <v>1720</v>
      </c>
      <c r="T34" s="159"/>
      <c r="U34" s="159"/>
      <c r="V34" s="159"/>
      <c r="W34" s="159"/>
      <c r="X34" s="159"/>
      <c r="Y34" s="159">
        <v>1920</v>
      </c>
      <c r="Z34" s="159"/>
      <c r="AA34" s="159"/>
      <c r="AB34" s="159"/>
      <c r="AC34" s="159"/>
      <c r="AD34" s="159"/>
      <c r="AE34" s="159"/>
      <c r="AF34" s="159"/>
      <c r="AG34" s="159"/>
    </row>
    <row r="35" spans="10:33" ht="14.4" customHeight="1" x14ac:dyDescent="0.3">
      <c r="J35" t="s">
        <v>281</v>
      </c>
      <c r="K35" t="s">
        <v>1068</v>
      </c>
      <c r="L35" t="s">
        <v>110</v>
      </c>
      <c r="M35" t="s">
        <v>707</v>
      </c>
      <c r="N35" t="s">
        <v>754</v>
      </c>
      <c r="O35" s="159"/>
      <c r="P35" s="159"/>
      <c r="Q35" s="159"/>
      <c r="R35" s="159"/>
      <c r="S35" s="159">
        <v>1720</v>
      </c>
      <c r="T35" s="159"/>
      <c r="U35" s="159"/>
      <c r="V35" s="159"/>
      <c r="W35" s="159"/>
      <c r="X35" s="159"/>
      <c r="Y35" s="159">
        <v>1920</v>
      </c>
      <c r="Z35" s="159"/>
      <c r="AA35" s="159"/>
      <c r="AB35" s="159"/>
      <c r="AC35" s="159"/>
      <c r="AD35" s="159"/>
      <c r="AE35" s="159"/>
      <c r="AF35" s="159"/>
      <c r="AG35" s="159"/>
    </row>
    <row r="36" spans="10:33" ht="14.4" customHeight="1" x14ac:dyDescent="0.3">
      <c r="J36" t="s">
        <v>281</v>
      </c>
      <c r="K36" t="s">
        <v>1069</v>
      </c>
      <c r="L36" t="s">
        <v>116</v>
      </c>
      <c r="M36" t="s">
        <v>707</v>
      </c>
      <c r="N36" t="s">
        <v>114</v>
      </c>
      <c r="O36" s="159"/>
      <c r="P36" s="159"/>
      <c r="Q36" s="159"/>
      <c r="R36" s="159"/>
      <c r="S36" s="159"/>
      <c r="T36" s="159">
        <v>5240</v>
      </c>
      <c r="U36" s="159"/>
      <c r="V36" s="159"/>
      <c r="W36" s="159"/>
      <c r="X36" s="159"/>
      <c r="Y36" s="159"/>
      <c r="Z36" s="159">
        <v>5880</v>
      </c>
      <c r="AA36" s="159"/>
      <c r="AB36" s="159"/>
      <c r="AC36" s="159"/>
      <c r="AD36" s="159"/>
      <c r="AE36" s="159"/>
      <c r="AF36" s="159"/>
      <c r="AG36" s="159"/>
    </row>
    <row r="37" spans="10:33" ht="14.4" customHeight="1" x14ac:dyDescent="0.3">
      <c r="J37" t="s">
        <v>281</v>
      </c>
      <c r="K37" t="s">
        <v>1070</v>
      </c>
      <c r="L37" t="s">
        <v>116</v>
      </c>
      <c r="M37" t="s">
        <v>707</v>
      </c>
      <c r="N37" t="s">
        <v>753</v>
      </c>
      <c r="O37" s="159"/>
      <c r="P37" s="159"/>
      <c r="Q37" s="159"/>
      <c r="R37" s="159"/>
      <c r="S37" s="159"/>
      <c r="T37" s="159">
        <v>5240</v>
      </c>
      <c r="U37" s="159"/>
      <c r="V37" s="159"/>
      <c r="W37" s="159"/>
      <c r="X37" s="159"/>
      <c r="Y37" s="159"/>
      <c r="Z37" s="159">
        <v>5880</v>
      </c>
      <c r="AA37" s="159"/>
      <c r="AB37" s="159"/>
      <c r="AC37" s="159"/>
      <c r="AD37" s="159"/>
      <c r="AE37" s="159"/>
      <c r="AF37" s="159"/>
      <c r="AG37" s="159"/>
    </row>
    <row r="38" spans="10:33" ht="14.4" customHeight="1" x14ac:dyDescent="0.3">
      <c r="J38" t="s">
        <v>281</v>
      </c>
      <c r="K38" t="s">
        <v>1071</v>
      </c>
      <c r="L38" t="s">
        <v>116</v>
      </c>
      <c r="M38" t="s">
        <v>707</v>
      </c>
      <c r="N38" t="s">
        <v>754</v>
      </c>
      <c r="O38" s="159"/>
      <c r="P38" s="159"/>
      <c r="Q38" s="159"/>
      <c r="R38" s="159"/>
      <c r="S38" s="159"/>
      <c r="T38" s="159">
        <v>5240</v>
      </c>
      <c r="U38" s="159"/>
      <c r="V38" s="159"/>
      <c r="W38" s="159"/>
      <c r="X38" s="159"/>
      <c r="Y38" s="159"/>
      <c r="Z38" s="159">
        <v>5880</v>
      </c>
      <c r="AA38" s="159"/>
      <c r="AB38" s="159"/>
      <c r="AC38" s="159"/>
      <c r="AD38" s="159"/>
      <c r="AE38" s="159"/>
      <c r="AF38" s="159"/>
    </row>
    <row r="39" spans="10:33" ht="14.4" customHeight="1" x14ac:dyDescent="0.3">
      <c r="J39" t="s">
        <v>219</v>
      </c>
      <c r="K39" t="s">
        <v>1072</v>
      </c>
      <c r="L39" t="s">
        <v>116</v>
      </c>
      <c r="M39" t="s">
        <v>707</v>
      </c>
      <c r="N39" t="s">
        <v>119</v>
      </c>
      <c r="O39" s="159">
        <v>2820</v>
      </c>
      <c r="P39" s="159"/>
      <c r="Q39" s="159"/>
      <c r="R39" s="159"/>
      <c r="S39" s="159"/>
      <c r="T39" s="159"/>
      <c r="U39" s="159">
        <v>3160</v>
      </c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</row>
    <row r="40" spans="10:33" ht="14.4" customHeight="1" x14ac:dyDescent="0.3">
      <c r="J40" t="s">
        <v>219</v>
      </c>
      <c r="K40" t="s">
        <v>1073</v>
      </c>
      <c r="L40" t="s">
        <v>116</v>
      </c>
      <c r="M40" t="s">
        <v>707</v>
      </c>
      <c r="N40" t="s">
        <v>114</v>
      </c>
      <c r="O40" s="159">
        <v>2820</v>
      </c>
      <c r="P40" s="159"/>
      <c r="Q40" s="159"/>
      <c r="R40" s="159"/>
      <c r="S40" s="159"/>
      <c r="T40" s="159"/>
      <c r="U40" s="159">
        <v>3160</v>
      </c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</row>
    <row r="41" spans="10:33" ht="14.4" customHeight="1" x14ac:dyDescent="0.3">
      <c r="J41" t="s">
        <v>219</v>
      </c>
      <c r="K41" t="s">
        <v>1074</v>
      </c>
      <c r="L41" t="s">
        <v>116</v>
      </c>
      <c r="M41" t="s">
        <v>707</v>
      </c>
      <c r="N41" t="s">
        <v>121</v>
      </c>
      <c r="O41" s="159">
        <v>2820</v>
      </c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</row>
    <row r="42" spans="10:33" ht="14.4" customHeight="1" x14ac:dyDescent="0.3">
      <c r="J42" t="s">
        <v>219</v>
      </c>
      <c r="K42" t="s">
        <v>1075</v>
      </c>
      <c r="L42" t="s">
        <v>116</v>
      </c>
      <c r="M42" t="s">
        <v>707</v>
      </c>
      <c r="N42" t="s">
        <v>120</v>
      </c>
      <c r="O42" s="159">
        <v>2820</v>
      </c>
      <c r="P42" s="159"/>
      <c r="Q42" s="159"/>
      <c r="R42" s="159"/>
      <c r="S42" s="159"/>
      <c r="T42" s="159"/>
      <c r="U42" s="159">
        <v>3160</v>
      </c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</row>
    <row r="43" spans="10:33" ht="14.4" customHeight="1" x14ac:dyDescent="0.3">
      <c r="J43" t="s">
        <v>219</v>
      </c>
      <c r="K43" t="s">
        <v>1076</v>
      </c>
      <c r="L43" t="s">
        <v>741</v>
      </c>
      <c r="M43" t="s">
        <v>703</v>
      </c>
      <c r="N43" t="s">
        <v>1077</v>
      </c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>
        <v>1700</v>
      </c>
    </row>
    <row r="44" spans="10:33" ht="14.4" customHeight="1" x14ac:dyDescent="0.3">
      <c r="J44" t="s">
        <v>219</v>
      </c>
      <c r="K44" t="s">
        <v>1078</v>
      </c>
      <c r="L44" t="s">
        <v>741</v>
      </c>
      <c r="M44" t="s">
        <v>703</v>
      </c>
      <c r="N44" t="s">
        <v>1079</v>
      </c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>
        <v>1370</v>
      </c>
    </row>
    <row r="45" spans="10:33" ht="14.4" customHeight="1" x14ac:dyDescent="0.3">
      <c r="J45" t="s">
        <v>219</v>
      </c>
      <c r="K45" t="s">
        <v>1080</v>
      </c>
      <c r="L45" t="s">
        <v>741</v>
      </c>
      <c r="M45" t="s">
        <v>703</v>
      </c>
      <c r="N45" t="s">
        <v>715</v>
      </c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>
        <v>1240</v>
      </c>
    </row>
    <row r="46" spans="10:33" ht="14.4" customHeight="1" x14ac:dyDescent="0.3">
      <c r="J46" t="s">
        <v>219</v>
      </c>
      <c r="K46" t="s">
        <v>1081</v>
      </c>
      <c r="L46" t="s">
        <v>741</v>
      </c>
      <c r="M46" t="s">
        <v>703</v>
      </c>
      <c r="N46" t="s">
        <v>710</v>
      </c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>
        <v>1840</v>
      </c>
    </row>
    <row r="47" spans="10:33" ht="14.4" customHeight="1" x14ac:dyDescent="0.3">
      <c r="J47" t="s">
        <v>219</v>
      </c>
      <c r="K47" t="s">
        <v>1082</v>
      </c>
      <c r="L47" t="s">
        <v>741</v>
      </c>
      <c r="M47" t="s">
        <v>703</v>
      </c>
      <c r="N47" t="s">
        <v>879</v>
      </c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>
        <v>1500</v>
      </c>
    </row>
    <row r="48" spans="10:33" ht="14.4" customHeight="1" x14ac:dyDescent="0.3">
      <c r="J48" t="s">
        <v>219</v>
      </c>
      <c r="K48" t="s">
        <v>1083</v>
      </c>
      <c r="L48" t="s">
        <v>741</v>
      </c>
      <c r="M48" t="s">
        <v>703</v>
      </c>
      <c r="N48" t="s">
        <v>878</v>
      </c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>
        <v>1170</v>
      </c>
    </row>
    <row r="49" spans="10:32" ht="14.4" customHeight="1" x14ac:dyDescent="0.3">
      <c r="J49" t="s">
        <v>1090</v>
      </c>
      <c r="K49" t="s">
        <v>820</v>
      </c>
      <c r="L49" t="s">
        <v>116</v>
      </c>
      <c r="M49" t="s">
        <v>115</v>
      </c>
      <c r="N49" t="s">
        <v>120</v>
      </c>
      <c r="O49" s="159"/>
      <c r="P49" s="159">
        <v>3430</v>
      </c>
      <c r="Q49" s="159"/>
      <c r="R49" s="159"/>
      <c r="S49" s="159"/>
      <c r="T49" s="159"/>
      <c r="U49" s="159"/>
      <c r="V49" s="159">
        <v>3840</v>
      </c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</row>
    <row r="50" spans="10:32" ht="14.4" customHeight="1" x14ac:dyDescent="0.3">
      <c r="J50" t="s">
        <v>1090</v>
      </c>
      <c r="K50" t="s">
        <v>821</v>
      </c>
      <c r="L50" t="s">
        <v>116</v>
      </c>
      <c r="M50" t="s">
        <v>115</v>
      </c>
      <c r="N50" t="s">
        <v>119</v>
      </c>
      <c r="O50" s="159">
        <v>2780</v>
      </c>
      <c r="P50" s="159"/>
      <c r="Q50" s="159"/>
      <c r="R50" s="159"/>
      <c r="S50" s="159"/>
      <c r="T50" s="159"/>
      <c r="U50" s="159">
        <v>3110</v>
      </c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</row>
    <row r="51" spans="10:32" ht="14.4" customHeight="1" x14ac:dyDescent="0.3">
      <c r="J51" t="s">
        <v>1090</v>
      </c>
      <c r="K51" t="s">
        <v>823</v>
      </c>
      <c r="L51" t="s">
        <v>116</v>
      </c>
      <c r="M51" t="s">
        <v>115</v>
      </c>
      <c r="N51" t="s">
        <v>114</v>
      </c>
      <c r="O51" s="159">
        <v>2780</v>
      </c>
      <c r="P51" s="159"/>
      <c r="Q51" s="159"/>
      <c r="R51" s="159"/>
      <c r="S51" s="159"/>
      <c r="T51" s="159"/>
      <c r="U51" s="159">
        <v>3110</v>
      </c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</row>
    <row r="52" spans="10:32" ht="14.4" customHeight="1" x14ac:dyDescent="0.3">
      <c r="J52" t="s">
        <v>1090</v>
      </c>
      <c r="K52" t="s">
        <v>824</v>
      </c>
      <c r="L52" t="s">
        <v>116</v>
      </c>
      <c r="M52" t="s">
        <v>115</v>
      </c>
      <c r="N52" t="s">
        <v>114</v>
      </c>
      <c r="O52" s="159"/>
      <c r="P52" s="159">
        <v>3430</v>
      </c>
      <c r="Q52" s="159"/>
      <c r="R52" s="159"/>
      <c r="S52" s="159"/>
      <c r="T52" s="159"/>
      <c r="U52" s="159"/>
      <c r="V52" s="159">
        <v>3840</v>
      </c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</row>
    <row r="53" spans="10:32" ht="14.4" customHeight="1" x14ac:dyDescent="0.3">
      <c r="J53" t="s">
        <v>1090</v>
      </c>
      <c r="K53" t="s">
        <v>825</v>
      </c>
      <c r="L53" t="s">
        <v>116</v>
      </c>
      <c r="M53" t="s">
        <v>115</v>
      </c>
      <c r="N53" t="s">
        <v>121</v>
      </c>
      <c r="O53" s="159">
        <v>2780</v>
      </c>
      <c r="P53" s="159"/>
      <c r="Q53" s="159"/>
      <c r="R53" s="159"/>
      <c r="S53" s="159"/>
      <c r="T53" s="159"/>
      <c r="U53" s="159">
        <v>3110</v>
      </c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</row>
    <row r="54" spans="10:32" ht="14.4" customHeight="1" x14ac:dyDescent="0.3">
      <c r="J54" t="s">
        <v>1090</v>
      </c>
      <c r="K54" t="s">
        <v>826</v>
      </c>
      <c r="L54" t="s">
        <v>116</v>
      </c>
      <c r="M54" t="s">
        <v>115</v>
      </c>
      <c r="N54" t="s">
        <v>121</v>
      </c>
      <c r="O54" s="159"/>
      <c r="P54" s="159">
        <v>3430</v>
      </c>
      <c r="Q54" s="159"/>
      <c r="R54" s="159"/>
      <c r="S54" s="159"/>
      <c r="T54" s="159"/>
      <c r="U54" s="159"/>
      <c r="V54" s="159">
        <v>3840</v>
      </c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</row>
    <row r="55" spans="10:32" ht="14.4" customHeight="1" x14ac:dyDescent="0.3">
      <c r="J55" t="s">
        <v>1090</v>
      </c>
      <c r="K55" t="s">
        <v>827</v>
      </c>
      <c r="L55" t="s">
        <v>116</v>
      </c>
      <c r="M55" t="s">
        <v>115</v>
      </c>
      <c r="N55" t="s">
        <v>120</v>
      </c>
      <c r="O55" s="159">
        <v>2780</v>
      </c>
      <c r="P55" s="159"/>
      <c r="Q55" s="159"/>
      <c r="R55" s="159"/>
      <c r="S55" s="159"/>
      <c r="T55" s="159"/>
      <c r="U55" s="159">
        <v>3110</v>
      </c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</row>
    <row r="56" spans="10:32" ht="14.4" customHeight="1" x14ac:dyDescent="0.3">
      <c r="J56" t="s">
        <v>1090</v>
      </c>
      <c r="K56" t="s">
        <v>828</v>
      </c>
      <c r="L56" t="s">
        <v>116</v>
      </c>
      <c r="M56" t="s">
        <v>115</v>
      </c>
      <c r="N56" t="s">
        <v>754</v>
      </c>
      <c r="O56" s="159"/>
      <c r="P56" s="159">
        <v>3430</v>
      </c>
      <c r="Q56" s="159"/>
      <c r="R56" s="159"/>
      <c r="S56" s="159"/>
      <c r="T56" s="159"/>
      <c r="U56" s="159"/>
      <c r="V56" s="159">
        <v>3840</v>
      </c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02D2B-444F-47F0-BCE1-BC5714CBEBBF}">
  <dimension ref="A1:H38"/>
  <sheetViews>
    <sheetView showGridLines="0" zoomScale="115" zoomScaleNormal="115" zoomScaleSheetLayoutView="40" workbookViewId="0">
      <pane xSplit="1" ySplit="6" topLeftCell="B19" activePane="bottomRight" state="frozen"/>
      <selection activeCell="F12" sqref="F12:H12"/>
      <selection pane="topRight" activeCell="F12" sqref="F12:H12"/>
      <selection pane="bottomLeft" activeCell="F12" sqref="F12:H12"/>
      <selection pane="bottomRight" activeCell="I10" sqref="I10"/>
    </sheetView>
  </sheetViews>
  <sheetFormatPr defaultColWidth="9.109375" defaultRowHeight="14.4" customHeight="1" x14ac:dyDescent="0.3"/>
  <cols>
    <col min="1" max="1" width="9" customWidth="1"/>
    <col min="2" max="2" width="14.44140625" customWidth="1"/>
    <col min="3" max="3" width="8.109375" customWidth="1"/>
    <col min="4" max="4" width="18.6640625" customWidth="1"/>
    <col min="5" max="5" width="14.44140625" customWidth="1"/>
    <col min="6" max="7" width="10.5546875" customWidth="1"/>
    <col min="8" max="8" width="14.21875" customWidth="1"/>
  </cols>
  <sheetData>
    <row r="1" spans="1:8" ht="15" customHeight="1" x14ac:dyDescent="0.3">
      <c r="A1" s="352"/>
      <c r="B1" s="248" t="s">
        <v>780</v>
      </c>
      <c r="C1" s="404" t="s">
        <v>81</v>
      </c>
      <c r="D1" s="404"/>
      <c r="E1" s="404"/>
      <c r="F1" s="404"/>
      <c r="G1" s="420"/>
    </row>
    <row r="2" spans="1:8" ht="15" customHeight="1" x14ac:dyDescent="0.3">
      <c r="A2" s="353"/>
      <c r="B2" s="72" t="s">
        <v>52</v>
      </c>
      <c r="C2" s="351" t="s">
        <v>101</v>
      </c>
      <c r="D2" s="351"/>
      <c r="E2" s="71"/>
      <c r="F2" s="42"/>
      <c r="G2" s="421"/>
    </row>
    <row r="3" spans="1:8" ht="15" customHeight="1" x14ac:dyDescent="0.3">
      <c r="A3" s="353"/>
      <c r="B3" s="41"/>
      <c r="C3" s="351"/>
      <c r="D3" s="351"/>
      <c r="E3" s="246" t="s">
        <v>25</v>
      </c>
      <c r="F3" s="39">
        <v>45581</v>
      </c>
      <c r="G3" s="421"/>
    </row>
    <row r="4" spans="1:8" ht="12.75" customHeight="1" thickBot="1" x14ac:dyDescent="0.35">
      <c r="A4" s="354"/>
      <c r="B4" s="41"/>
      <c r="C4" s="70"/>
      <c r="D4" s="246"/>
      <c r="E4" s="246"/>
      <c r="F4" s="69"/>
      <c r="G4" s="421"/>
    </row>
    <row r="5" spans="1:8" ht="14.25" customHeight="1" thickBot="1" x14ac:dyDescent="0.35">
      <c r="A5" s="367" t="s">
        <v>24</v>
      </c>
      <c r="B5" s="369" t="s">
        <v>23</v>
      </c>
      <c r="C5" s="370"/>
      <c r="D5" s="396" t="s">
        <v>22</v>
      </c>
      <c r="E5" s="422" t="s">
        <v>21</v>
      </c>
      <c r="F5" s="868" t="s">
        <v>61</v>
      </c>
      <c r="G5" s="871"/>
      <c r="H5" s="869"/>
    </row>
    <row r="6" spans="1:8" ht="12.75" customHeight="1" thickBot="1" x14ac:dyDescent="0.35">
      <c r="A6" s="368"/>
      <c r="B6" s="371"/>
      <c r="C6" s="372"/>
      <c r="D6" s="397"/>
      <c r="E6" s="423"/>
      <c r="F6" s="484" t="s">
        <v>60</v>
      </c>
      <c r="G6" s="870"/>
      <c r="H6" s="485"/>
    </row>
    <row r="7" spans="1:8" ht="12.75" customHeight="1" thickBot="1" x14ac:dyDescent="0.35">
      <c r="A7" s="866"/>
      <c r="B7" s="879"/>
      <c r="C7" s="879"/>
      <c r="D7" s="879"/>
      <c r="E7" s="880"/>
      <c r="F7" s="881" t="s">
        <v>1093</v>
      </c>
      <c r="G7" s="882"/>
      <c r="H7" s="883" t="s">
        <v>1094</v>
      </c>
    </row>
    <row r="8" spans="1:8" ht="15" customHeight="1" thickBot="1" x14ac:dyDescent="0.35">
      <c r="B8" s="884"/>
      <c r="C8" s="156"/>
      <c r="D8" s="156"/>
      <c r="E8" s="156"/>
      <c r="F8" s="398" t="s">
        <v>59</v>
      </c>
      <c r="G8" s="399"/>
      <c r="H8" s="408"/>
    </row>
    <row r="9" spans="1:8" ht="17.25" customHeight="1" x14ac:dyDescent="0.3">
      <c r="A9" s="378" t="s">
        <v>2</v>
      </c>
      <c r="B9" s="386"/>
      <c r="C9" s="387"/>
      <c r="D9" s="422" t="s">
        <v>15</v>
      </c>
      <c r="E9" s="323">
        <v>1200</v>
      </c>
      <c r="F9" s="438">
        <f>GETPIVOTDATA("Значение",Лист1!$B$2,"Серия","Прайм","Тип_шкафа","2-х дверный купе","Ширина",1200,"Высота",2300,"Глубина",570,"Наименование шкафа на сайте","Прайм 2-дверный (ЛДСП) окутанный","Признак_ВИ_Шкафа","Основной вариант")</f>
        <v>23160</v>
      </c>
      <c r="G9" s="438"/>
      <c r="H9" s="885">
        <f>F9+2140</f>
        <v>25300</v>
      </c>
    </row>
    <row r="10" spans="1:8" ht="17.25" customHeight="1" x14ac:dyDescent="0.3">
      <c r="A10" s="379"/>
      <c r="B10" s="388"/>
      <c r="C10" s="389"/>
      <c r="D10" s="426"/>
      <c r="E10" s="323">
        <v>1400</v>
      </c>
      <c r="F10" s="345">
        <f>GETPIVOTDATA("Значение",Лист1!$B$2,"Серия","Прайм","Тип_шкафа","2-х дверный купе","Ширина",1400,"Высота",2300,"Глубина",570,"Наименование шкафа на сайте","Прайм 2-дверный (ЛДСП) окутанный","Признак_ВИ_Шкафа","Основной вариант")</f>
        <v>24710</v>
      </c>
      <c r="G10" s="345"/>
      <c r="H10" s="886">
        <f t="shared" ref="H10:H17" si="0">F10+2140</f>
        <v>26850</v>
      </c>
    </row>
    <row r="11" spans="1:8" ht="17.25" customHeight="1" x14ac:dyDescent="0.3">
      <c r="A11" s="379"/>
      <c r="B11" s="390"/>
      <c r="C11" s="391"/>
      <c r="D11" s="425"/>
      <c r="E11" s="323">
        <v>1600</v>
      </c>
      <c r="F11" s="345">
        <f>GETPIVOTDATA("Значение",Лист1!$B$2,"Серия","Прайм","Тип_шкафа","2-х дверный купе","Ширина",1600,"Высота",2300,"Глубина",570,"Наименование шкафа на сайте","Прайм 2-дверный (ЛДСП) окутанный","Признак_ВИ_Шкафа","Основной вариант")</f>
        <v>26730</v>
      </c>
      <c r="G11" s="345"/>
      <c r="H11" s="886">
        <f t="shared" si="0"/>
        <v>28870</v>
      </c>
    </row>
    <row r="12" spans="1:8" ht="17.25" customHeight="1" x14ac:dyDescent="0.3">
      <c r="A12" s="379"/>
      <c r="B12" s="360"/>
      <c r="C12" s="361"/>
      <c r="D12" s="424" t="s">
        <v>14</v>
      </c>
      <c r="E12" s="323">
        <v>1200</v>
      </c>
      <c r="F12" s="345">
        <f>GETPIVOTDATA("Значение",Лист1!$B$2,"Серия","Прайм","Тип_шкафа","2-х дверный купе","Ширина",1200,"Высота",2300,"Глубина",570,"Наименование шкафа на сайте","Прайм 2-дверный (ЛДСП, Зеркало) окутанный","Признак_ВИ_Шкафа","Основной вариант")</f>
        <v>24970</v>
      </c>
      <c r="G12" s="345"/>
      <c r="H12" s="886">
        <f t="shared" si="0"/>
        <v>27110</v>
      </c>
    </row>
    <row r="13" spans="1:8" ht="17.25" customHeight="1" x14ac:dyDescent="0.3">
      <c r="A13" s="379"/>
      <c r="B13" s="362"/>
      <c r="C13" s="363"/>
      <c r="D13" s="426"/>
      <c r="E13" s="323">
        <v>1400</v>
      </c>
      <c r="F13" s="345">
        <f>GETPIVOTDATA("Значение",Лист1!$B$2,"Серия","Прайм","Тип_шкафа","2-х дверный купе","Ширина",1400,"Высота",2300,"Глубина",570,"Наименование шкафа на сайте","Прайм 2-дверный (ЛДСП, Зеркало) окутанный","Признак_ВИ_Шкафа","Основной вариант")</f>
        <v>26580</v>
      </c>
      <c r="G13" s="345"/>
      <c r="H13" s="886">
        <f t="shared" si="0"/>
        <v>28720</v>
      </c>
    </row>
    <row r="14" spans="1:8" ht="17.25" customHeight="1" x14ac:dyDescent="0.3">
      <c r="A14" s="379"/>
      <c r="B14" s="358"/>
      <c r="C14" s="359"/>
      <c r="D14" s="425"/>
      <c r="E14" s="323">
        <v>1600</v>
      </c>
      <c r="F14" s="345">
        <f>GETPIVOTDATA("Значение",Лист1!$B$2,"Серия","Прайм","Тип_шкафа","2-х дверный купе","Ширина",1600,"Высота",2300,"Глубина",570,"Наименование шкафа на сайте","Прайм 2-дверный (ЛДСП, Зеркало) окутанный","Признак_ВИ_Шкафа","Основной вариант")</f>
        <v>28500</v>
      </c>
      <c r="G14" s="345"/>
      <c r="H14" s="886">
        <f t="shared" si="0"/>
        <v>30640</v>
      </c>
    </row>
    <row r="15" spans="1:8" ht="17.25" customHeight="1" x14ac:dyDescent="0.3">
      <c r="A15" s="379"/>
      <c r="B15" s="324"/>
      <c r="C15" s="321"/>
      <c r="D15" s="355" t="s">
        <v>900</v>
      </c>
      <c r="E15" s="323">
        <v>1200</v>
      </c>
      <c r="F15" s="331">
        <f>GETPIVOTDATA("Значение",Лист1!$B$2,"Серия","Прайм","Тип_шкафа","2-х дверный купе","Ширина",1200,"Высота",2300,"Глубина",570,"Наименование шкафа на сайте","Прайм 2-х дверный (ЛДСП, Стекло пудра) окутанный","Признак_ВИ_Шкафа","Основной вариант")</f>
        <v>26520</v>
      </c>
      <c r="G15" s="333"/>
      <c r="H15" s="886">
        <f t="shared" si="0"/>
        <v>28660</v>
      </c>
    </row>
    <row r="16" spans="1:8" ht="17.25" customHeight="1" x14ac:dyDescent="0.3">
      <c r="A16" s="379"/>
      <c r="B16" s="324"/>
      <c r="C16" s="321"/>
      <c r="D16" s="355"/>
      <c r="E16" s="323">
        <v>1400</v>
      </c>
      <c r="F16" s="331">
        <f>GETPIVOTDATA("Значение",Лист1!$B$2,"Серия","Прайм","Тип_шкафа","2-х дверный купе","Ширина",1400,"Высота",2300,"Глубина",570,"Наименование шкафа на сайте","Прайм 2-х дверный (ЛДСП, Стекло пудра) окутанный","Признак_ВИ_Шкафа","Основной вариант")</f>
        <v>28280</v>
      </c>
      <c r="G16" s="333"/>
      <c r="H16" s="886">
        <f t="shared" si="0"/>
        <v>30420</v>
      </c>
    </row>
    <row r="17" spans="1:8" ht="17.25" customHeight="1" thickBot="1" x14ac:dyDescent="0.35">
      <c r="A17" s="380"/>
      <c r="B17" s="887"/>
      <c r="C17" s="320"/>
      <c r="D17" s="888"/>
      <c r="E17" s="889">
        <v>1600</v>
      </c>
      <c r="F17" s="890">
        <f>GETPIVOTDATA("Значение",Лист1!$B$2,"Серия","Прайм","Тип_шкафа","2-х дверный купе","Ширина",1600,"Высота",2300,"Глубина",570,"Наименование шкафа на сайте","Прайм 2-х дверный (ЛДСП, Стекло пудра) окутанный","Признак_ВИ_Шкафа","Основной вариант")</f>
        <v>30050</v>
      </c>
      <c r="G17" s="891"/>
      <c r="H17" s="892">
        <f t="shared" si="0"/>
        <v>32190</v>
      </c>
    </row>
    <row r="18" spans="1:8" ht="24" customHeight="1" x14ac:dyDescent="0.3">
      <c r="A18" s="473" t="s">
        <v>1</v>
      </c>
      <c r="B18" s="429"/>
      <c r="C18" s="357"/>
      <c r="D18" s="422" t="s">
        <v>12</v>
      </c>
      <c r="E18" s="893">
        <v>1800</v>
      </c>
      <c r="F18" s="894">
        <f>GETPIVOTDATA("Значение",Лист1!$B$2,"Серия","Прайм","Тип_шкафа","3-х дверный купе","Ширина",1800,"Высота",2300,"Глубина",570,"Наименование шкафа на сайте","Прайм 3-дверный (ЛДСП) окутанный","Признак_ВИ_Шкафа","Основной вариант")</f>
        <v>30820</v>
      </c>
      <c r="G18" s="894"/>
      <c r="H18" s="895">
        <f>F18+3160</f>
        <v>33980</v>
      </c>
    </row>
    <row r="19" spans="1:8" ht="24" customHeight="1" x14ac:dyDescent="0.3">
      <c r="A19" s="501"/>
      <c r="B19" s="430"/>
      <c r="C19" s="359"/>
      <c r="D19" s="425"/>
      <c r="E19" s="323">
        <v>2100</v>
      </c>
      <c r="F19" s="345">
        <f>GETPIVOTDATA("Значение",Лист1!$B$2,"Серия","Прайм","Тип_шкафа","3-х дверный купе","Ширина",2100,"Высота",2300,"Глубина",570,"Наименование шкафа на сайте","Прайм 3-дверный (ЛДСП) окутанный","Признак_ВИ_Шкафа","Основной вариант")</f>
        <v>34510</v>
      </c>
      <c r="G19" s="345"/>
      <c r="H19" s="886">
        <f t="shared" ref="H19:H27" si="1">F19+3160</f>
        <v>37670</v>
      </c>
    </row>
    <row r="20" spans="1:8" ht="24" customHeight="1" x14ac:dyDescent="0.3">
      <c r="A20" s="501"/>
      <c r="B20" s="427"/>
      <c r="C20" s="361"/>
      <c r="D20" s="424" t="s">
        <v>11</v>
      </c>
      <c r="E20" s="323">
        <v>1800</v>
      </c>
      <c r="F20" s="345">
        <f>GETPIVOTDATA("Значение",Лист1!$B$2,"Серия","Прайм","Тип_шкафа","3-х дверный купе","Ширина",1800,"Высота",2300,"Глубина",570,"Наименование шкафа на сайте","Прайм 3-дверный (ЛДСП, Зеркало) окутанный","Признак_ВИ_Шкафа","Основной вариант")</f>
        <v>32630</v>
      </c>
      <c r="G20" s="345"/>
      <c r="H20" s="886">
        <f t="shared" si="1"/>
        <v>35790</v>
      </c>
    </row>
    <row r="21" spans="1:8" ht="24" customHeight="1" x14ac:dyDescent="0.3">
      <c r="A21" s="501"/>
      <c r="B21" s="430"/>
      <c r="C21" s="359"/>
      <c r="D21" s="425"/>
      <c r="E21" s="323">
        <v>2100</v>
      </c>
      <c r="F21" s="345">
        <f>GETPIVOTDATA("Значение",Лист1!$B$2,"Серия","Прайм","Тип_шкафа","3-х дверный купе","Ширина",2100,"Высота",2300,"Глубина",570,"Наименование шкафа на сайте","Прайм 3-дверный (ЛДСП, Зеркало) окутанный","Признак_ВИ_Шкафа","Основной вариант")</f>
        <v>36380</v>
      </c>
      <c r="G21" s="345"/>
      <c r="H21" s="886">
        <f t="shared" si="1"/>
        <v>39540</v>
      </c>
    </row>
    <row r="22" spans="1:8" ht="24" customHeight="1" x14ac:dyDescent="0.3">
      <c r="A22" s="501"/>
      <c r="B22" s="427"/>
      <c r="C22" s="361"/>
      <c r="D22" s="424" t="s">
        <v>55</v>
      </c>
      <c r="E22" s="323">
        <v>1800</v>
      </c>
      <c r="F22" s="345">
        <f>GETPIVOTDATA("Значение",Лист1!$B$2,"Серия","Прайм","Тип_шкафа","3-х дверный купе","Ширина",1800,"Высота",2300,"Глубина",570,"Наименование шкафа на сайте","Прайм 3-дверный (Зеркало, ЛДСП) окутанный","Признак_ВИ_Шкафа","Основной вариант")</f>
        <v>34440</v>
      </c>
      <c r="G22" s="345"/>
      <c r="H22" s="886">
        <f t="shared" si="1"/>
        <v>37600</v>
      </c>
    </row>
    <row r="23" spans="1:8" ht="24" customHeight="1" x14ac:dyDescent="0.3">
      <c r="A23" s="501"/>
      <c r="B23" s="430"/>
      <c r="C23" s="359"/>
      <c r="D23" s="425"/>
      <c r="E23" s="323">
        <v>2100</v>
      </c>
      <c r="F23" s="345">
        <f>GETPIVOTDATA("Значение",Лист1!$B$2,"Серия","Прайм","Тип_шкафа","3-х дверный купе","Ширина",2100,"Высота",2300,"Глубина",570,"Наименование шкафа на сайте","Прайм 3-дверный (Зеркало, ЛДСП) окутанный","Признак_ВИ_Шкафа","Основной вариант")</f>
        <v>38250</v>
      </c>
      <c r="G23" s="345"/>
      <c r="H23" s="886">
        <f t="shared" si="1"/>
        <v>41410</v>
      </c>
    </row>
    <row r="24" spans="1:8" ht="24" customHeight="1" x14ac:dyDescent="0.3">
      <c r="A24" s="501"/>
      <c r="B24" s="427"/>
      <c r="C24" s="361"/>
      <c r="D24" s="424" t="s">
        <v>907</v>
      </c>
      <c r="E24" s="323">
        <v>1800</v>
      </c>
      <c r="F24" s="331">
        <f>GETPIVOTDATA("Значение",Лист1!$B$2,"Серия","Прайм","Тип_шкафа","3-х дверный купе","Ширина",1800,"Высота",2300,"Глубина",570,"Наименование шкафа на сайте","Прайм 3-х дверный (ЛДСП, Стекло белое) окутанный","Признак_ВИ_Шкафа","Основной вариант")</f>
        <v>34180</v>
      </c>
      <c r="G24" s="333"/>
      <c r="H24" s="886">
        <f t="shared" si="1"/>
        <v>37340</v>
      </c>
    </row>
    <row r="25" spans="1:8" ht="24" customHeight="1" x14ac:dyDescent="0.3">
      <c r="A25" s="501"/>
      <c r="B25" s="428"/>
      <c r="C25" s="363"/>
      <c r="D25" s="425"/>
      <c r="E25" s="323">
        <v>2100</v>
      </c>
      <c r="F25" s="331">
        <f>GETPIVOTDATA("Значение",Лист1!$B$2,"Серия","Прайм","Тип_шкафа","3-х дверный купе","Ширина",2100,"Высота",2300,"Глубина",570,"Наименование шкафа на сайте","Прайм 3-х дверный (ЛДСП, Стекло белое) окутанный","Признак_ВИ_Шкафа","Основной вариант")</f>
        <v>38080</v>
      </c>
      <c r="G25" s="333"/>
      <c r="H25" s="886">
        <f t="shared" si="1"/>
        <v>41240</v>
      </c>
    </row>
    <row r="26" spans="1:8" ht="24" customHeight="1" x14ac:dyDescent="0.3">
      <c r="A26" s="501"/>
      <c r="B26" s="350"/>
      <c r="C26" s="350"/>
      <c r="D26" s="424" t="s">
        <v>903</v>
      </c>
      <c r="E26" s="323">
        <v>1800</v>
      </c>
      <c r="F26" s="331">
        <f>GETPIVOTDATA("Значение",Лист1!$B$2,"Серия","Прайм","Тип_шкафа","3-х дверный купе","Ширина",1800,"Высота",2300,"Глубина",570,"Наименование шкафа на сайте","Прайм 3-х дверный (Стекло хаки, ЛДСП) окутанный","Признак_ВИ_Шкафа","Основной вариант")</f>
        <v>37540</v>
      </c>
      <c r="G26" s="333"/>
      <c r="H26" s="886">
        <f t="shared" si="1"/>
        <v>40700</v>
      </c>
    </row>
    <row r="27" spans="1:8" ht="24" customHeight="1" thickBot="1" x14ac:dyDescent="0.35">
      <c r="A27" s="474"/>
      <c r="B27" s="896"/>
      <c r="C27" s="896"/>
      <c r="D27" s="423"/>
      <c r="E27" s="889">
        <v>2100</v>
      </c>
      <c r="F27" s="890">
        <f>GETPIVOTDATA("Значение",Лист1!$B$2,"Серия","Прайм","Тип_шкафа","3-х дверный купе","Ширина",2100,"Высота",2300,"Глубина",570,"Наименование шкафа на сайте","Прайм 3-х дверный (Стекло хаки, ЛДСП) окутанный","Признак_ВИ_Шкафа","Основной вариант")</f>
        <v>41650</v>
      </c>
      <c r="G27" s="891"/>
      <c r="H27" s="892">
        <f t="shared" si="1"/>
        <v>44810</v>
      </c>
    </row>
    <row r="28" spans="1:8" ht="24" customHeight="1" x14ac:dyDescent="0.3">
      <c r="A28" s="501" t="s">
        <v>7</v>
      </c>
      <c r="B28" s="435"/>
      <c r="C28" s="435"/>
      <c r="D28" s="436" t="s">
        <v>66</v>
      </c>
      <c r="E28" s="437"/>
      <c r="F28" s="438">
        <f>GETPIVOTDATA("Значение",Лист1!$Y$3,"Номенклатура","Угловой терминал ""Универсальный"" 350х505х2300","Вариант_исполнения","Белый снег","Ширина","350","Глубина","505","Высота","2300","Признак вставки","без вставки")</f>
        <v>4620</v>
      </c>
      <c r="G28" s="438"/>
    </row>
    <row r="29" spans="1:8" ht="24" customHeight="1" x14ac:dyDescent="0.3">
      <c r="A29" s="501"/>
      <c r="B29" s="350"/>
      <c r="C29" s="350"/>
      <c r="D29" s="355"/>
      <c r="E29" s="346"/>
      <c r="F29" s="345"/>
      <c r="G29" s="345"/>
    </row>
    <row r="30" spans="1:8" ht="14.25" customHeight="1" x14ac:dyDescent="0.3">
      <c r="A30" s="501"/>
      <c r="B30" s="350"/>
      <c r="C30" s="350"/>
      <c r="D30" s="355"/>
      <c r="E30" s="346"/>
      <c r="F30" s="345"/>
      <c r="G30" s="345"/>
    </row>
    <row r="31" spans="1:8" ht="17.25" customHeight="1" x14ac:dyDescent="0.3">
      <c r="A31" s="501"/>
      <c r="B31" s="439"/>
      <c r="C31" s="440"/>
      <c r="D31" s="355" t="s">
        <v>66</v>
      </c>
      <c r="E31" s="346" t="s">
        <v>852</v>
      </c>
      <c r="F31" s="345">
        <f>GETPIVOTDATA("Значение",Лист1!$Y$3,"Номенклатура","Угловой терминал ""Универсальный"" 350х505х2300_Белое стекло","Вариант_исполнения","Белый снег","Ширина","350","Глубина","505","Высота","2300","Признак вставки","с вставкой")</f>
        <v>5600</v>
      </c>
      <c r="G31" s="345"/>
    </row>
    <row r="32" spans="1:8" ht="17.25" customHeight="1" x14ac:dyDescent="0.3">
      <c r="A32" s="501"/>
      <c r="B32" s="441"/>
      <c r="C32" s="363"/>
      <c r="D32" s="355"/>
      <c r="E32" s="346"/>
      <c r="F32" s="345"/>
      <c r="G32" s="345"/>
    </row>
    <row r="33" spans="1:7" ht="17.25" customHeight="1" x14ac:dyDescent="0.3">
      <c r="A33" s="501"/>
      <c r="B33" s="442"/>
      <c r="C33" s="443"/>
      <c r="D33" s="355"/>
      <c r="E33" s="346"/>
      <c r="F33" s="345"/>
      <c r="G33" s="345"/>
    </row>
    <row r="34" spans="1:7" ht="18.600000000000001" customHeight="1" x14ac:dyDescent="0.3">
      <c r="A34" s="501"/>
      <c r="B34" s="350"/>
      <c r="C34" s="350"/>
      <c r="D34" s="355" t="s">
        <v>6</v>
      </c>
      <c r="E34" s="346" t="s">
        <v>97</v>
      </c>
      <c r="F34" s="345">
        <f>GETPIVOTDATA("Значение",Лист1!$K:$P,"Вариант_исполнения","Венге","Ширина","600","Глубина","600","Высота","388","Комплектующая","Модуль")</f>
        <v>3430</v>
      </c>
      <c r="G34" s="345"/>
    </row>
    <row r="35" spans="1:7" ht="18.600000000000001" customHeight="1" x14ac:dyDescent="0.3">
      <c r="A35" s="501"/>
      <c r="B35" s="350"/>
      <c r="C35" s="350"/>
      <c r="D35" s="355"/>
      <c r="E35" s="346"/>
      <c r="F35" s="345"/>
      <c r="G35" s="345"/>
    </row>
    <row r="36" spans="1:7" ht="18.600000000000001" customHeight="1" thickBot="1" x14ac:dyDescent="0.35">
      <c r="A36" s="474"/>
      <c r="B36" s="350"/>
      <c r="C36" s="350"/>
      <c r="D36" s="355"/>
      <c r="E36" s="346"/>
      <c r="F36" s="345"/>
      <c r="G36" s="345"/>
    </row>
    <row r="37" spans="1:7" ht="17.25" customHeight="1" x14ac:dyDescent="0.3">
      <c r="A37" s="378" t="s">
        <v>3</v>
      </c>
      <c r="B37" s="91"/>
      <c r="C37" s="251"/>
      <c r="E37" s="244" t="s">
        <v>2</v>
      </c>
      <c r="F37" s="343" t="s">
        <v>1</v>
      </c>
      <c r="G37" s="344"/>
    </row>
    <row r="38" spans="1:7" ht="54" customHeight="1" thickBot="1" x14ac:dyDescent="0.35">
      <c r="A38" s="380"/>
      <c r="B38" s="394"/>
      <c r="C38" s="395"/>
      <c r="D38" s="65"/>
      <c r="E38" s="64"/>
      <c r="F38" s="337"/>
      <c r="G38" s="338"/>
    </row>
  </sheetData>
  <mergeCells count="66">
    <mergeCell ref="F7:G7"/>
    <mergeCell ref="F8:H8"/>
    <mergeCell ref="F6:H6"/>
    <mergeCell ref="F5:H5"/>
    <mergeCell ref="A9:A17"/>
    <mergeCell ref="A37:A38"/>
    <mergeCell ref="F37:G37"/>
    <mergeCell ref="B38:C38"/>
    <mergeCell ref="F38:G38"/>
    <mergeCell ref="A28:A36"/>
    <mergeCell ref="B28:C30"/>
    <mergeCell ref="D28:D30"/>
    <mergeCell ref="E28:E30"/>
    <mergeCell ref="F28:G30"/>
    <mergeCell ref="B31:C33"/>
    <mergeCell ref="D31:D33"/>
    <mergeCell ref="E31:E33"/>
    <mergeCell ref="F31:G33"/>
    <mergeCell ref="B34:C36"/>
    <mergeCell ref="D34:D36"/>
    <mergeCell ref="E34:E36"/>
    <mergeCell ref="B26:C27"/>
    <mergeCell ref="D26:D27"/>
    <mergeCell ref="F20:G20"/>
    <mergeCell ref="F21:G21"/>
    <mergeCell ref="B22:C23"/>
    <mergeCell ref="D22:D23"/>
    <mergeCell ref="F22:G22"/>
    <mergeCell ref="F23:G23"/>
    <mergeCell ref="F34:G36"/>
    <mergeCell ref="F12:G12"/>
    <mergeCell ref="F13:G13"/>
    <mergeCell ref="F14:G14"/>
    <mergeCell ref="F9:G9"/>
    <mergeCell ref="F10:G10"/>
    <mergeCell ref="F11:G11"/>
    <mergeCell ref="F24:G24"/>
    <mergeCell ref="F25:G25"/>
    <mergeCell ref="F26:G26"/>
    <mergeCell ref="F27:G27"/>
    <mergeCell ref="F15:G15"/>
    <mergeCell ref="F16:G16"/>
    <mergeCell ref="F17:G17"/>
    <mergeCell ref="D12:D14"/>
    <mergeCell ref="B18:C19"/>
    <mergeCell ref="D18:D19"/>
    <mergeCell ref="F18:G18"/>
    <mergeCell ref="F19:G19"/>
    <mergeCell ref="B20:C21"/>
    <mergeCell ref="D20:D21"/>
    <mergeCell ref="A18:A27"/>
    <mergeCell ref="A5:A6"/>
    <mergeCell ref="B5:C6"/>
    <mergeCell ref="D5:D6"/>
    <mergeCell ref="E5:E6"/>
    <mergeCell ref="D24:D25"/>
    <mergeCell ref="B9:C11"/>
    <mergeCell ref="D9:D11"/>
    <mergeCell ref="B12:C14"/>
    <mergeCell ref="D15:D17"/>
    <mergeCell ref="B24:C25"/>
    <mergeCell ref="A1:A4"/>
    <mergeCell ref="C1:F1"/>
    <mergeCell ref="G1:G2"/>
    <mergeCell ref="C2:D3"/>
    <mergeCell ref="G3:G4"/>
  </mergeCells>
  <pageMargins left="0.25" right="0.25" top="0.75" bottom="0.75" header="0.3" footer="0.3"/>
  <pageSetup paperSize="9"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E4078-C5CB-42E9-8BFE-3E83AF33951A}">
  <sheetPr codeName="Лист2">
    <pageSetUpPr fitToPage="1"/>
  </sheetPr>
  <dimension ref="A1:H46"/>
  <sheetViews>
    <sheetView showGridLines="0" zoomScaleNormal="100" zoomScaleSheetLayoutView="40" workbookViewId="0">
      <pane ySplit="6" topLeftCell="A31" activePane="bottomLeft" state="frozen"/>
      <selection activeCell="K21" sqref="K21"/>
      <selection pane="bottomLeft" activeCell="K36" sqref="K36"/>
    </sheetView>
  </sheetViews>
  <sheetFormatPr defaultColWidth="9.109375" defaultRowHeight="14.4" customHeight="1" x14ac:dyDescent="0.3"/>
  <cols>
    <col min="1" max="1" width="9" customWidth="1"/>
    <col min="2" max="2" width="14.44140625" customWidth="1"/>
    <col min="3" max="3" width="16.6640625" customWidth="1"/>
    <col min="4" max="4" width="18.5546875" customWidth="1"/>
    <col min="5" max="5" width="14.44140625" customWidth="1"/>
    <col min="6" max="6" width="12" customWidth="1"/>
    <col min="7" max="7" width="12.88671875" customWidth="1"/>
    <col min="8" max="8" width="22.33203125" customWidth="1"/>
    <col min="9" max="20" width="9.109375" customWidth="1"/>
  </cols>
  <sheetData>
    <row r="1" spans="1:8" ht="15" customHeight="1" x14ac:dyDescent="0.3">
      <c r="A1" s="352"/>
      <c r="B1" s="73" t="s">
        <v>780</v>
      </c>
      <c r="C1" s="404" t="s">
        <v>81</v>
      </c>
      <c r="D1" s="404"/>
      <c r="E1" s="404"/>
      <c r="F1" s="404"/>
      <c r="G1" s="355" t="s">
        <v>782</v>
      </c>
      <c r="H1" s="402"/>
    </row>
    <row r="2" spans="1:8" ht="15" customHeight="1" x14ac:dyDescent="0.3">
      <c r="A2" s="353"/>
      <c r="B2" s="72" t="s">
        <v>52</v>
      </c>
      <c r="C2" s="470" t="s">
        <v>62</v>
      </c>
      <c r="D2" s="470"/>
      <c r="E2" s="71"/>
      <c r="F2" s="42"/>
      <c r="G2" s="355"/>
      <c r="H2" s="402"/>
    </row>
    <row r="3" spans="1:8" ht="15" customHeight="1" x14ac:dyDescent="0.3">
      <c r="A3" s="353"/>
      <c r="B3" s="41"/>
      <c r="C3" s="470"/>
      <c r="D3" s="470"/>
      <c r="E3" s="40" t="s">
        <v>25</v>
      </c>
      <c r="F3" s="39">
        <v>45536</v>
      </c>
      <c r="G3" s="355" t="s">
        <v>783</v>
      </c>
      <c r="H3" s="403"/>
    </row>
    <row r="4" spans="1:8" ht="12.75" customHeight="1" thickBot="1" x14ac:dyDescent="0.35">
      <c r="A4" s="353"/>
      <c r="B4" s="41"/>
      <c r="C4" s="70"/>
      <c r="D4" s="40"/>
      <c r="E4" s="40"/>
      <c r="F4" s="69"/>
      <c r="G4" s="355"/>
      <c r="H4" s="403"/>
    </row>
    <row r="5" spans="1:8" ht="14.25" customHeight="1" x14ac:dyDescent="0.3">
      <c r="A5" s="367" t="s">
        <v>24</v>
      </c>
      <c r="B5" s="369" t="s">
        <v>23</v>
      </c>
      <c r="C5" s="370"/>
      <c r="D5" s="396" t="s">
        <v>22</v>
      </c>
      <c r="E5" s="373" t="s">
        <v>21</v>
      </c>
      <c r="F5" s="405" t="s">
        <v>61</v>
      </c>
      <c r="G5" s="406"/>
      <c r="H5" s="407"/>
    </row>
    <row r="6" spans="1:8" ht="12.75" customHeight="1" thickBot="1" x14ac:dyDescent="0.35">
      <c r="A6" s="368"/>
      <c r="B6" s="371"/>
      <c r="C6" s="372"/>
      <c r="D6" s="397"/>
      <c r="E6" s="377"/>
      <c r="F6" s="431" t="s">
        <v>60</v>
      </c>
      <c r="G6" s="410"/>
      <c r="H6" s="432"/>
    </row>
    <row r="7" spans="1:8" ht="36.6" customHeight="1" thickBot="1" x14ac:dyDescent="0.35">
      <c r="A7" s="467" t="s">
        <v>1002</v>
      </c>
      <c r="B7" s="468"/>
      <c r="C7" s="468"/>
      <c r="D7" s="468"/>
      <c r="E7" s="469"/>
      <c r="F7" s="398" t="s">
        <v>59</v>
      </c>
      <c r="G7" s="471"/>
      <c r="H7" s="68" t="s">
        <v>58</v>
      </c>
    </row>
    <row r="8" spans="1:8" ht="17.25" customHeight="1" x14ac:dyDescent="0.3">
      <c r="A8" s="378" t="s">
        <v>2</v>
      </c>
      <c r="B8" s="386"/>
      <c r="C8" s="387"/>
      <c r="D8" s="373" t="s">
        <v>57</v>
      </c>
      <c r="E8" s="447">
        <v>2200</v>
      </c>
      <c r="F8" s="457">
        <f>GETPIVOTDATA("Значение",Лист1!$B$2,"Серия","Прайм Широкий","Тип_шкафа","2-х дверный купе","Ширина",2200,"Высота",2300,"Наименование шкафа на сайте","Широкий Прайм 2-х дверный (3 секции ДСП/стекло белое)","Признак_ВИ_Шкафа","Основной вариант")</f>
        <v>37460</v>
      </c>
      <c r="G8" s="458"/>
      <c r="H8" s="461">
        <f>GETPIVOTDATA("Значение",Лист1!$B$2,"Серия","Прайм Широкий","Тип_шкафа","2-х дверный купе","Ширина",2200,"Высота",2300,"Наименование шкафа на сайте","Широкий Прайм 2-х дверный (3 секции ДСП/стекло белое)","Признак_ВИ_Шкафа","Новый вариант")</f>
        <v>41700</v>
      </c>
    </row>
    <row r="9" spans="1:8" ht="17.25" customHeight="1" x14ac:dyDescent="0.3">
      <c r="A9" s="379"/>
      <c r="B9" s="388"/>
      <c r="C9" s="389"/>
      <c r="D9" s="374"/>
      <c r="E9" s="448"/>
      <c r="F9" s="459"/>
      <c r="G9" s="460"/>
      <c r="H9" s="453"/>
    </row>
    <row r="10" spans="1:8" ht="17.25" customHeight="1" x14ac:dyDescent="0.3">
      <c r="A10" s="379"/>
      <c r="B10" s="390"/>
      <c r="C10" s="391"/>
      <c r="D10" s="375"/>
      <c r="E10" s="448"/>
      <c r="F10" s="414"/>
      <c r="G10" s="415"/>
      <c r="H10" s="462"/>
    </row>
    <row r="11" spans="1:8" ht="17.25" customHeight="1" x14ac:dyDescent="0.3">
      <c r="A11" s="379"/>
      <c r="B11" s="360"/>
      <c r="C11" s="361"/>
      <c r="D11" s="347" t="s">
        <v>56</v>
      </c>
      <c r="E11" s="448">
        <v>2200</v>
      </c>
      <c r="F11" s="335">
        <f>GETPIVOTDATA("Значение",Лист1!$B$2,"Серия","Прайм Широкий","Тип_шкафа","2-х дверный купе","Ширина",2200,"Высота",2300,"Наименование шкафа на сайте","Широкий Прайм 2-х дверный (3 секции ДСП/стекло черное)","Признак_ВИ_Шкафа","Основной вариант")</f>
        <v>37460</v>
      </c>
      <c r="G11" s="336"/>
      <c r="H11" s="452">
        <f>GETPIVOTDATA("Значение",Лист1!$B$2,"Серия","Прайм Широкий","Тип_шкафа","2-х дверный купе","Ширина",2200,"Высота",2300,"Наименование шкафа на сайте","Широкий Прайм 2-х дверный (3 секции ДСП/стекло черное)","Признак_ВИ_Шкафа","Новый вариант")</f>
        <v>41700</v>
      </c>
    </row>
    <row r="12" spans="1:8" ht="17.25" customHeight="1" x14ac:dyDescent="0.3">
      <c r="A12" s="379"/>
      <c r="B12" s="362"/>
      <c r="C12" s="363"/>
      <c r="D12" s="348"/>
      <c r="E12" s="448"/>
      <c r="F12" s="459"/>
      <c r="G12" s="460"/>
      <c r="H12" s="453"/>
    </row>
    <row r="13" spans="1:8" ht="17.25" customHeight="1" thickBot="1" x14ac:dyDescent="0.35">
      <c r="A13" s="380"/>
      <c r="B13" s="392"/>
      <c r="C13" s="393"/>
      <c r="D13" s="463"/>
      <c r="E13" s="449"/>
      <c r="F13" s="464"/>
      <c r="G13" s="465"/>
      <c r="H13" s="466"/>
    </row>
    <row r="14" spans="1:8" ht="26.25" customHeight="1" x14ac:dyDescent="0.3">
      <c r="A14" s="378" t="s">
        <v>1</v>
      </c>
      <c r="B14" s="356"/>
      <c r="C14" s="357"/>
      <c r="D14" s="364" t="s">
        <v>57</v>
      </c>
      <c r="E14" s="455">
        <v>2400</v>
      </c>
      <c r="F14" s="418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(3 секции ДСП/стекло белое)","Признак_ВИ_Шкафа","Основной вариант")</f>
        <v>38890</v>
      </c>
      <c r="G14" s="419"/>
      <c r="H14" s="454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(3 секции ДСП/стекло белое)","Признак_ВИ_Шкафа","Новый вариант")</f>
        <v>43200</v>
      </c>
    </row>
    <row r="15" spans="1:8" ht="26.25" customHeight="1" x14ac:dyDescent="0.3">
      <c r="A15" s="379"/>
      <c r="B15" s="358"/>
      <c r="C15" s="359"/>
      <c r="D15" s="349"/>
      <c r="E15" s="446"/>
      <c r="F15" s="400"/>
      <c r="G15" s="401"/>
      <c r="H15" s="450"/>
    </row>
    <row r="16" spans="1:8" ht="26.25" customHeight="1" x14ac:dyDescent="0.3">
      <c r="A16" s="379"/>
      <c r="B16" s="360"/>
      <c r="C16" s="361"/>
      <c r="D16" s="347" t="s">
        <v>56</v>
      </c>
      <c r="E16" s="444">
        <v>2400</v>
      </c>
      <c r="F16" s="40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(3 секции ДСП/стекло черное)","Признак_ВИ_Шкафа","Основной вариант")</f>
        <v>38890</v>
      </c>
      <c r="G16" s="401"/>
      <c r="H16" s="45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(3 секции ДСП/стекло черное)","Признак_ВИ_Шкафа","Новый вариант")</f>
        <v>43200</v>
      </c>
    </row>
    <row r="17" spans="1:8" ht="26.25" customHeight="1" x14ac:dyDescent="0.3">
      <c r="A17" s="379"/>
      <c r="B17" s="358"/>
      <c r="C17" s="359"/>
      <c r="D17" s="349"/>
      <c r="E17" s="446"/>
      <c r="F17" s="400"/>
      <c r="G17" s="401"/>
      <c r="H17" s="450"/>
    </row>
    <row r="18" spans="1:8" ht="26.25" customHeight="1" x14ac:dyDescent="0.3">
      <c r="A18" s="379"/>
      <c r="B18" s="360"/>
      <c r="C18" s="361"/>
      <c r="D18" s="456" t="s">
        <v>12</v>
      </c>
      <c r="E18" s="444">
        <v>2400</v>
      </c>
      <c r="F18" s="40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(ЛДСП)","Признак_ВИ_Шкафа","Основной вариант")</f>
        <v>38170</v>
      </c>
      <c r="G18" s="401"/>
      <c r="H18" s="45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(ЛДСП)","Признак_ВИ_Шкафа","Новый вариант")</f>
        <v>42390</v>
      </c>
    </row>
    <row r="19" spans="1:8" ht="26.25" customHeight="1" x14ac:dyDescent="0.3">
      <c r="A19" s="379"/>
      <c r="B19" s="358"/>
      <c r="C19" s="359"/>
      <c r="D19" s="451"/>
      <c r="E19" s="446"/>
      <c r="F19" s="400"/>
      <c r="G19" s="401"/>
      <c r="H19" s="450"/>
    </row>
    <row r="20" spans="1:8" ht="26.25" customHeight="1" x14ac:dyDescent="0.3">
      <c r="A20" s="379"/>
      <c r="B20" s="360"/>
      <c r="C20" s="361"/>
      <c r="D20" s="451" t="s">
        <v>11</v>
      </c>
      <c r="E20" s="444">
        <v>2400</v>
      </c>
      <c r="F20" s="40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(ЛДСП/Зеркало)","Признак_ВИ_Шкафа","Основной вариант")</f>
        <v>41000</v>
      </c>
      <c r="G20" s="401"/>
      <c r="H20" s="45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(ЛДСП/Зеркало)","Признак_ВИ_Шкафа","Новый вариант")</f>
        <v>44790</v>
      </c>
    </row>
    <row r="21" spans="1:8" ht="26.25" customHeight="1" x14ac:dyDescent="0.3">
      <c r="A21" s="379"/>
      <c r="B21" s="358"/>
      <c r="C21" s="359"/>
      <c r="D21" s="451"/>
      <c r="E21" s="446"/>
      <c r="F21" s="400"/>
      <c r="G21" s="401"/>
      <c r="H21" s="450"/>
    </row>
    <row r="22" spans="1:8" ht="26.25" customHeight="1" x14ac:dyDescent="0.3">
      <c r="A22" s="379"/>
      <c r="B22" s="360"/>
      <c r="C22" s="361"/>
      <c r="D22" s="451" t="s">
        <v>907</v>
      </c>
      <c r="E22" s="444">
        <v>2400</v>
      </c>
      <c r="F22" s="40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(ЛДСП/Стекло Черное)","Признак_ВИ_Шкафа","Основной вариант")</f>
        <v>42550</v>
      </c>
      <c r="G22" s="401"/>
      <c r="H22" s="45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(ЛДСП/Стекло Черное)","Признак_ВИ_Шкафа","Новый вариант")</f>
        <v>46340</v>
      </c>
    </row>
    <row r="23" spans="1:8" ht="26.25" customHeight="1" x14ac:dyDescent="0.3">
      <c r="A23" s="379"/>
      <c r="B23" s="358"/>
      <c r="C23" s="359"/>
      <c r="D23" s="451"/>
      <c r="E23" s="446"/>
      <c r="F23" s="400"/>
      <c r="G23" s="401"/>
      <c r="H23" s="450"/>
    </row>
    <row r="24" spans="1:8" ht="26.25" customHeight="1" x14ac:dyDescent="0.3">
      <c r="A24" s="379"/>
      <c r="B24" s="360"/>
      <c r="C24" s="361"/>
      <c r="D24" s="451" t="s">
        <v>55</v>
      </c>
      <c r="E24" s="444">
        <v>2400</v>
      </c>
      <c r="F24" s="40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(Зеркало/ЛДСП)","Признак_ВИ_Шкафа","Основной вариант")</f>
        <v>43830</v>
      </c>
      <c r="G24" s="401"/>
      <c r="H24" s="45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(Зеркало/ЛДСП)","Признак_ВИ_Шкафа","Новый вариант")</f>
        <v>47190</v>
      </c>
    </row>
    <row r="25" spans="1:8" ht="26.25" customHeight="1" x14ac:dyDescent="0.3">
      <c r="A25" s="379"/>
      <c r="B25" s="358"/>
      <c r="C25" s="359"/>
      <c r="D25" s="451"/>
      <c r="E25" s="446"/>
      <c r="F25" s="400"/>
      <c r="G25" s="401"/>
      <c r="H25" s="450"/>
    </row>
    <row r="26" spans="1:8" ht="26.25" customHeight="1" x14ac:dyDescent="0.3">
      <c r="A26" s="379"/>
      <c r="B26" s="360"/>
      <c r="C26" s="361"/>
      <c r="D26" s="451" t="s">
        <v>903</v>
      </c>
      <c r="E26" s="444">
        <v>2400</v>
      </c>
      <c r="F26" s="335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(Стекло Черное/ЛДСП)","Признак_ВИ_Шкафа","Основной вариант")</f>
        <v>46930</v>
      </c>
      <c r="G26" s="336"/>
      <c r="H26" s="452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(Стекло Черное/ЛДСП)","Признак_ВИ_Шкафа","Новый вариант")</f>
        <v>50290</v>
      </c>
    </row>
    <row r="27" spans="1:8" ht="26.25" customHeight="1" x14ac:dyDescent="0.3">
      <c r="A27" s="379"/>
      <c r="B27" s="358"/>
      <c r="C27" s="359"/>
      <c r="D27" s="451"/>
      <c r="E27" s="446"/>
      <c r="F27" s="414"/>
      <c r="G27" s="415"/>
      <c r="H27" s="462"/>
    </row>
    <row r="28" spans="1:8" ht="26.25" customHeight="1" x14ac:dyDescent="0.3">
      <c r="A28" s="379"/>
      <c r="B28" s="360"/>
      <c r="C28" s="361"/>
      <c r="D28" s="451" t="s">
        <v>904</v>
      </c>
      <c r="E28" s="444">
        <v>2400</v>
      </c>
      <c r="F28" s="40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(Зеркало/Стекло Черное)","Признак_ВИ_Шкафа","Основной вариант")</f>
        <v>48210</v>
      </c>
      <c r="G28" s="401"/>
      <c r="H28" s="45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(Зеркало/Стекло Черное)","Признак_ВИ_Шкафа","Новый вариант")</f>
        <v>51140</v>
      </c>
    </row>
    <row r="29" spans="1:8" ht="26.25" customHeight="1" x14ac:dyDescent="0.3">
      <c r="A29" s="379"/>
      <c r="B29" s="358"/>
      <c r="C29" s="359"/>
      <c r="D29" s="451"/>
      <c r="E29" s="446"/>
      <c r="F29" s="400"/>
      <c r="G29" s="401"/>
      <c r="H29" s="450"/>
    </row>
    <row r="30" spans="1:8" ht="26.25" customHeight="1" x14ac:dyDescent="0.3">
      <c r="A30" s="379"/>
      <c r="B30" s="360"/>
      <c r="C30" s="361"/>
      <c r="D30" s="451" t="s">
        <v>905</v>
      </c>
      <c r="E30" s="444">
        <v>2400</v>
      </c>
      <c r="F30" s="40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(Стекло Черное/Зеркало)","Признак_ВИ_Шкафа","Основной вариант")</f>
        <v>49760</v>
      </c>
      <c r="G30" s="401"/>
      <c r="H30" s="45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(Стекло Черное/Зеркало)","Признак_ВИ_Шкафа","Новый вариант")</f>
        <v>52690</v>
      </c>
    </row>
    <row r="31" spans="1:8" ht="26.25" customHeight="1" x14ac:dyDescent="0.3">
      <c r="A31" s="379"/>
      <c r="B31" s="358"/>
      <c r="C31" s="359"/>
      <c r="D31" s="451"/>
      <c r="E31" s="446"/>
      <c r="F31" s="400"/>
      <c r="G31" s="401"/>
      <c r="H31" s="450"/>
    </row>
    <row r="32" spans="1:8" ht="26.25" customHeight="1" x14ac:dyDescent="0.3">
      <c r="A32" s="379"/>
      <c r="B32" s="360"/>
      <c r="C32" s="361"/>
      <c r="D32" s="451" t="s">
        <v>54</v>
      </c>
      <c r="E32" s="444">
        <v>2400</v>
      </c>
      <c r="F32" s="40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(Зеркало)","Признак_ВИ_Шкафа","Основной вариант")</f>
        <v>46660</v>
      </c>
      <c r="G32" s="401"/>
      <c r="H32" s="45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(Зеркало)","Признак_ВИ_Шкафа","Новый вариант")</f>
        <v>49590</v>
      </c>
    </row>
    <row r="33" spans="1:8" ht="26.25" customHeight="1" x14ac:dyDescent="0.3">
      <c r="A33" s="379"/>
      <c r="B33" s="358"/>
      <c r="C33" s="359"/>
      <c r="D33" s="451"/>
      <c r="E33" s="446"/>
      <c r="F33" s="400"/>
      <c r="G33" s="401"/>
      <c r="H33" s="450"/>
    </row>
    <row r="34" spans="1:8" ht="26.25" customHeight="1" x14ac:dyDescent="0.3">
      <c r="A34" s="379"/>
      <c r="B34" s="360"/>
      <c r="C34" s="361"/>
      <c r="D34" s="476" t="s">
        <v>906</v>
      </c>
      <c r="E34" s="444">
        <v>2400</v>
      </c>
      <c r="F34" s="400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(Стекло Черное)","Признак_ВИ_Шкафа","Основной вариант")</f>
        <v>51310</v>
      </c>
      <c r="G34" s="401"/>
      <c r="H34" s="452">
        <f>GETPIVOTDATA("Значение",Лист1!$B$2,"Серия","Прайм Широкий","Тип_шкафа","3-х дверный купе","Ширина",2400,"Высота",2300,"Наименование шкафа на сайте","Широкий Прайм 3-х дверный (Стекло Черное)","Признак_ВИ_Шкафа","Новый вариант")</f>
        <v>54240</v>
      </c>
    </row>
    <row r="35" spans="1:8" ht="26.25" customHeight="1" x14ac:dyDescent="0.3">
      <c r="A35" s="379"/>
      <c r="B35" s="358"/>
      <c r="C35" s="359"/>
      <c r="D35" s="476"/>
      <c r="E35" s="446"/>
      <c r="F35" s="335"/>
      <c r="G35" s="336"/>
      <c r="H35" s="453"/>
    </row>
    <row r="36" spans="1:8" ht="26.25" customHeight="1" x14ac:dyDescent="0.3">
      <c r="A36" s="379"/>
      <c r="B36" s="360"/>
      <c r="C36" s="361"/>
      <c r="D36" s="376" t="s">
        <v>916</v>
      </c>
      <c r="E36" s="444">
        <v>2400</v>
      </c>
      <c r="F36" s="400">
        <v>51310</v>
      </c>
      <c r="G36" s="401"/>
      <c r="H36" s="452">
        <v>54240</v>
      </c>
    </row>
    <row r="37" spans="1:8" ht="29.25" customHeight="1" thickBot="1" x14ac:dyDescent="0.35">
      <c r="A37" s="380"/>
      <c r="B37" s="475"/>
      <c r="C37" s="443"/>
      <c r="D37" s="377"/>
      <c r="E37" s="445"/>
      <c r="F37" s="335"/>
      <c r="G37" s="336"/>
      <c r="H37" s="453"/>
    </row>
    <row r="38" spans="1:8" ht="43.2" customHeight="1" x14ac:dyDescent="0.3">
      <c r="A38" s="473" t="s">
        <v>7</v>
      </c>
      <c r="B38" s="350"/>
      <c r="C38" s="350"/>
      <c r="D38" s="160" t="s">
        <v>66</v>
      </c>
      <c r="E38" s="165"/>
      <c r="F38" s="345">
        <f>GETPIVOTDATA("Значение",Лист1!$Y$3,"Вариант_исполнения","Белый снег","Ширина","350","Глубина","505","Высота","2300","Признак вставки","без вставки")</f>
        <v>4620</v>
      </c>
      <c r="G38" s="345"/>
      <c r="H38" s="166">
        <f>GETPIVOTDATA("Значение",Лист1!$Y$3,"Вариант_исполнения","Бетон","Ширина","350","Глубина","505","Высота","2300","Признак вставки","без вставки")</f>
        <v>5170</v>
      </c>
    </row>
    <row r="39" spans="1:8" ht="52.2" customHeight="1" x14ac:dyDescent="0.3">
      <c r="A39" s="501"/>
      <c r="B39" s="350"/>
      <c r="C39" s="350"/>
      <c r="D39" s="160" t="s">
        <v>66</v>
      </c>
      <c r="E39" s="165" t="s">
        <v>852</v>
      </c>
      <c r="F39" s="345">
        <f>GETPIVOTDATA("Значение",Лист1!$Y$3,"Вариант_исполнения","Белый снег","Ширина","350","Глубина","505","Высота","2300","Признак вставки","с вставкой")</f>
        <v>5600</v>
      </c>
      <c r="G39" s="345"/>
      <c r="H39" s="166">
        <f>GETPIVOTDATA("Значение",Лист1!$Y$3,"Вариант_исполнения","Бетон","Ширина","350","Глубина","505","Высота","2300","Признак вставки","с вставкой")</f>
        <v>6160</v>
      </c>
    </row>
    <row r="40" spans="1:8" ht="17.25" customHeight="1" x14ac:dyDescent="0.3">
      <c r="A40" s="501"/>
      <c r="B40" s="334"/>
      <c r="C40" s="350"/>
      <c r="D40" s="355" t="s">
        <v>6</v>
      </c>
      <c r="E40" s="346" t="s">
        <v>53</v>
      </c>
      <c r="F40" s="345">
        <f>GETPIVOTDATA("Значение",Лист1!$K:$P,"Вариант_исполнения","Венге","Ширина","500","Глубина","600","Высота","388","Комплектующая","Модуль")</f>
        <v>3430</v>
      </c>
      <c r="G40" s="345"/>
      <c r="H40" s="345">
        <f>GETPIVOTDATA("Значение",Лист1!$K:$P,"Вариант_исполнения","Бетон","Ширина","500","Глубина","600","Высота","388","Комплектующая","Модуль")</f>
        <v>3840</v>
      </c>
    </row>
    <row r="41" spans="1:8" ht="17.25" customHeight="1" x14ac:dyDescent="0.3">
      <c r="A41" s="501"/>
      <c r="B41" s="334"/>
      <c r="C41" s="350"/>
      <c r="D41" s="355"/>
      <c r="E41" s="346"/>
      <c r="F41" s="345"/>
      <c r="G41" s="345"/>
      <c r="H41" s="345"/>
    </row>
    <row r="42" spans="1:8" ht="19.2" customHeight="1" thickBot="1" x14ac:dyDescent="0.35">
      <c r="A42" s="474"/>
      <c r="B42" s="334"/>
      <c r="C42" s="350"/>
      <c r="D42" s="355"/>
      <c r="E42" s="346"/>
      <c r="F42" s="345"/>
      <c r="G42" s="345"/>
      <c r="H42" s="345"/>
    </row>
    <row r="43" spans="1:8" ht="17.25" customHeight="1" x14ac:dyDescent="0.3">
      <c r="A43" s="473" t="s">
        <v>3</v>
      </c>
      <c r="B43" s="91"/>
      <c r="C43" s="167"/>
      <c r="D43" s="168"/>
      <c r="E43" s="172" t="s">
        <v>2</v>
      </c>
      <c r="F43" s="477" t="s">
        <v>1</v>
      </c>
      <c r="G43" s="478"/>
      <c r="H43" s="169"/>
    </row>
    <row r="44" spans="1:8" ht="59.25" customHeight="1" thickBot="1" x14ac:dyDescent="0.35">
      <c r="A44" s="474"/>
      <c r="B44" s="394"/>
      <c r="C44" s="395"/>
      <c r="D44" s="65"/>
      <c r="E44" s="64"/>
      <c r="F44" s="337"/>
      <c r="G44" s="338"/>
      <c r="H44" s="63"/>
    </row>
    <row r="45" spans="1:8" ht="14.4" customHeight="1" x14ac:dyDescent="0.3">
      <c r="B45" s="272"/>
      <c r="C45" s="273"/>
      <c r="D45" s="273"/>
      <c r="E45" s="472" t="s">
        <v>977</v>
      </c>
      <c r="F45" s="472"/>
      <c r="G45" s="472"/>
      <c r="H45" s="274"/>
    </row>
    <row r="46" spans="1:8" ht="14.4" customHeight="1" thickBot="1" x14ac:dyDescent="0.35">
      <c r="B46" s="275"/>
      <c r="C46" s="276"/>
      <c r="D46" s="276"/>
      <c r="E46" s="276" t="s">
        <v>1001</v>
      </c>
      <c r="F46" s="276"/>
      <c r="G46" s="276"/>
      <c r="H46" s="277"/>
    </row>
  </sheetData>
  <mergeCells count="102">
    <mergeCell ref="A38:A42"/>
    <mergeCell ref="E45:G45"/>
    <mergeCell ref="B30:C31"/>
    <mergeCell ref="H28:H29"/>
    <mergeCell ref="H22:H23"/>
    <mergeCell ref="A43:A44"/>
    <mergeCell ref="B44:C44"/>
    <mergeCell ref="B36:C37"/>
    <mergeCell ref="A14:A37"/>
    <mergeCell ref="H32:H33"/>
    <mergeCell ref="D34:D35"/>
    <mergeCell ref="E34:E35"/>
    <mergeCell ref="F34:G35"/>
    <mergeCell ref="H34:H35"/>
    <mergeCell ref="B34:C35"/>
    <mergeCell ref="E26:E27"/>
    <mergeCell ref="F26:G27"/>
    <mergeCell ref="H26:H27"/>
    <mergeCell ref="H24:H25"/>
    <mergeCell ref="D28:D29"/>
    <mergeCell ref="B26:C27"/>
    <mergeCell ref="B28:C29"/>
    <mergeCell ref="E28:E29"/>
    <mergeCell ref="F43:G43"/>
    <mergeCell ref="F44:G44"/>
    <mergeCell ref="B22:C23"/>
    <mergeCell ref="H1:H2"/>
    <mergeCell ref="H3:H4"/>
    <mergeCell ref="C1:F1"/>
    <mergeCell ref="G1:G2"/>
    <mergeCell ref="G3:G4"/>
    <mergeCell ref="F5:H5"/>
    <mergeCell ref="F8:G10"/>
    <mergeCell ref="H8:H10"/>
    <mergeCell ref="D11:D13"/>
    <mergeCell ref="F11:G13"/>
    <mergeCell ref="H11:H13"/>
    <mergeCell ref="A7:E7"/>
    <mergeCell ref="A1:A4"/>
    <mergeCell ref="A5:A6"/>
    <mergeCell ref="B5:C6"/>
    <mergeCell ref="A8:A13"/>
    <mergeCell ref="C2:D3"/>
    <mergeCell ref="D22:D23"/>
    <mergeCell ref="E22:E23"/>
    <mergeCell ref="F22:G23"/>
    <mergeCell ref="E16:E17"/>
    <mergeCell ref="F7:G7"/>
    <mergeCell ref="F6:H6"/>
    <mergeCell ref="E5:E6"/>
    <mergeCell ref="D5:D6"/>
    <mergeCell ref="F14:G15"/>
    <mergeCell ref="H14:H15"/>
    <mergeCell ref="E14:E15"/>
    <mergeCell ref="B18:C19"/>
    <mergeCell ref="D18:D19"/>
    <mergeCell ref="E18:E19"/>
    <mergeCell ref="F18:G19"/>
    <mergeCell ref="H40:H42"/>
    <mergeCell ref="H16:H17"/>
    <mergeCell ref="H18:H19"/>
    <mergeCell ref="D20:D21"/>
    <mergeCell ref="E20:E21"/>
    <mergeCell ref="F16:G17"/>
    <mergeCell ref="D32:D33"/>
    <mergeCell ref="E32:E33"/>
    <mergeCell ref="F32:G33"/>
    <mergeCell ref="D24:D25"/>
    <mergeCell ref="H20:H21"/>
    <mergeCell ref="E30:E31"/>
    <mergeCell ref="H36:H37"/>
    <mergeCell ref="F20:G21"/>
    <mergeCell ref="D30:D31"/>
    <mergeCell ref="F28:G29"/>
    <mergeCell ref="D26:D27"/>
    <mergeCell ref="H30:H31"/>
    <mergeCell ref="D40:D42"/>
    <mergeCell ref="F30:G31"/>
    <mergeCell ref="B38:C38"/>
    <mergeCell ref="B39:C39"/>
    <mergeCell ref="F38:G38"/>
    <mergeCell ref="F39:G39"/>
    <mergeCell ref="B14:C15"/>
    <mergeCell ref="B16:C17"/>
    <mergeCell ref="B40:C42"/>
    <mergeCell ref="D8:D10"/>
    <mergeCell ref="D14:D15"/>
    <mergeCell ref="B32:C33"/>
    <mergeCell ref="B24:C25"/>
    <mergeCell ref="D36:D37"/>
    <mergeCell ref="E36:E37"/>
    <mergeCell ref="F36:G37"/>
    <mergeCell ref="D16:D17"/>
    <mergeCell ref="E40:E42"/>
    <mergeCell ref="F40:G42"/>
    <mergeCell ref="E24:E25"/>
    <mergeCell ref="F24:G25"/>
    <mergeCell ref="E8:E10"/>
    <mergeCell ref="E11:E13"/>
    <mergeCell ref="B11:C13"/>
    <mergeCell ref="B8:C10"/>
    <mergeCell ref="B20:C21"/>
  </mergeCells>
  <pageMargins left="0.25" right="0.25" top="0.75" bottom="0.75" header="0.3" footer="0.3"/>
  <pageSetup paperSize="9" scale="61" orientation="portrait" r:id="rId1"/>
  <rowBreaks count="2" manualBreakCount="2">
    <brk id="25" max="7" man="1"/>
    <brk id="44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B3A24-475B-40C2-9921-EC164721763D}">
  <sheetPr>
    <pageSetUpPr fitToPage="1"/>
  </sheetPr>
  <dimension ref="A1:G30"/>
  <sheetViews>
    <sheetView showGridLines="0" zoomScale="85" zoomScaleNormal="85" zoomScaleSheetLayoutView="40" workbookViewId="0">
      <pane ySplit="6" topLeftCell="A19" activePane="bottomLeft" state="frozen"/>
      <selection activeCell="F12" sqref="F12:H12"/>
      <selection pane="bottomLeft" activeCell="D40" sqref="D40"/>
    </sheetView>
  </sheetViews>
  <sheetFormatPr defaultColWidth="9.109375" defaultRowHeight="14.4" customHeight="1" x14ac:dyDescent="0.3"/>
  <cols>
    <col min="1" max="1" width="9" customWidth="1"/>
    <col min="2" max="2" width="14.44140625" customWidth="1"/>
    <col min="3" max="3" width="4.109375" customWidth="1"/>
    <col min="4" max="4" width="22.33203125" customWidth="1"/>
    <col min="5" max="5" width="14.44140625" customWidth="1"/>
    <col min="6" max="6" width="12" customWidth="1"/>
    <col min="7" max="7" width="12.88671875" customWidth="1"/>
  </cols>
  <sheetData>
    <row r="1" spans="1:7" ht="15" customHeight="1" x14ac:dyDescent="0.3">
      <c r="A1" s="352"/>
      <c r="B1" s="248" t="s">
        <v>930</v>
      </c>
      <c r="C1" s="404" t="s">
        <v>81</v>
      </c>
      <c r="D1" s="404"/>
      <c r="E1" s="404"/>
      <c r="F1" s="404"/>
      <c r="G1" s="420"/>
    </row>
    <row r="2" spans="1:7" ht="15" customHeight="1" x14ac:dyDescent="0.3">
      <c r="A2" s="353"/>
      <c r="B2" s="72" t="s">
        <v>52</v>
      </c>
      <c r="C2" s="470" t="s">
        <v>62</v>
      </c>
      <c r="D2" s="470"/>
      <c r="E2" s="71"/>
      <c r="F2" s="42"/>
      <c r="G2" s="421"/>
    </row>
    <row r="3" spans="1:7" ht="24.75" customHeight="1" x14ac:dyDescent="0.3">
      <c r="A3" s="353"/>
      <c r="B3" s="41"/>
      <c r="C3" s="470"/>
      <c r="D3" s="470"/>
      <c r="E3" s="246" t="s">
        <v>25</v>
      </c>
      <c r="F3" s="39">
        <v>45502</v>
      </c>
      <c r="G3" s="421"/>
    </row>
    <row r="4" spans="1:7" ht="12.75" customHeight="1" thickBot="1" x14ac:dyDescent="0.35">
      <c r="A4" s="353"/>
      <c r="B4" s="41"/>
      <c r="C4" s="70"/>
      <c r="D4" s="246"/>
      <c r="E4" s="246"/>
      <c r="F4" s="69"/>
      <c r="G4" s="421"/>
    </row>
    <row r="5" spans="1:7" ht="14.25" customHeight="1" x14ac:dyDescent="0.3">
      <c r="A5" s="367" t="s">
        <v>24</v>
      </c>
      <c r="B5" s="369" t="s">
        <v>23</v>
      </c>
      <c r="C5" s="370"/>
      <c r="D5" s="396" t="s">
        <v>22</v>
      </c>
      <c r="E5" s="422" t="s">
        <v>21</v>
      </c>
      <c r="F5" s="488" t="s">
        <v>61</v>
      </c>
      <c r="G5" s="488"/>
    </row>
    <row r="6" spans="1:7" ht="12.75" customHeight="1" thickBot="1" x14ac:dyDescent="0.35">
      <c r="A6" s="368"/>
      <c r="B6" s="371"/>
      <c r="C6" s="372"/>
      <c r="D6" s="397"/>
      <c r="E6" s="423"/>
      <c r="F6" s="484" t="s">
        <v>60</v>
      </c>
      <c r="G6" s="485"/>
    </row>
    <row r="7" spans="1:7" ht="36.6" customHeight="1" thickBot="1" x14ac:dyDescent="0.35">
      <c r="A7" s="467"/>
      <c r="B7" s="468"/>
      <c r="C7" s="468"/>
      <c r="D7" s="468"/>
      <c r="E7" s="486"/>
      <c r="F7" s="433" t="s">
        <v>59</v>
      </c>
      <c r="G7" s="487"/>
    </row>
    <row r="8" spans="1:7" ht="26.25" customHeight="1" x14ac:dyDescent="0.3">
      <c r="A8" s="378" t="s">
        <v>1</v>
      </c>
      <c r="B8" s="360"/>
      <c r="C8" s="361"/>
      <c r="D8" s="425" t="s">
        <v>12</v>
      </c>
      <c r="E8" s="346">
        <v>2400</v>
      </c>
      <c r="F8" s="345">
        <f>GETPIVOTDATA("Значение",Лист1!$B$2,"Серия","Прайм Широкий","Тип_шкафа","3-х дверный купе","Ширина",2400,"Высота",2300,"Глубина",570,"Наименование шкафа на сайте","Широкий Прайм 3-дверный (ЛДСП) окутанный","Признак_ВИ_Шкафа","Основной вариант")</f>
        <v>38190</v>
      </c>
      <c r="G8" s="345"/>
    </row>
    <row r="9" spans="1:7" ht="26.25" customHeight="1" x14ac:dyDescent="0.3">
      <c r="A9" s="379"/>
      <c r="B9" s="358"/>
      <c r="C9" s="359"/>
      <c r="D9" s="479"/>
      <c r="E9" s="346"/>
      <c r="F9" s="345"/>
      <c r="G9" s="345"/>
    </row>
    <row r="10" spans="1:7" ht="26.25" customHeight="1" x14ac:dyDescent="0.3">
      <c r="A10" s="379"/>
      <c r="B10" s="360"/>
      <c r="C10" s="361"/>
      <c r="D10" s="479" t="s">
        <v>11</v>
      </c>
      <c r="E10" s="346">
        <v>2400</v>
      </c>
      <c r="F10" s="345">
        <f>GETPIVOTDATA("Значение",Лист1!$B$2,"Серия","Прайм Широкий","Тип_шкафа","3-х дверный купе","Ширина",2400,"Высота",2300,"Глубина",570,"Наименование шкафа на сайте","Широкий Прайм 3-дверный (ЛДСП, Зеркало) окутанный","Признак_ВИ_Шкафа","Основной вариант")</f>
        <v>39960</v>
      </c>
      <c r="G10" s="345"/>
    </row>
    <row r="11" spans="1:7" ht="26.25" customHeight="1" x14ac:dyDescent="0.3">
      <c r="A11" s="379"/>
      <c r="B11" s="358"/>
      <c r="C11" s="359"/>
      <c r="D11" s="479"/>
      <c r="E11" s="346"/>
      <c r="F11" s="345"/>
      <c r="G11" s="345"/>
    </row>
    <row r="12" spans="1:7" ht="26.25" customHeight="1" x14ac:dyDescent="0.3">
      <c r="A12" s="379"/>
      <c r="B12" s="360"/>
      <c r="C12" s="361"/>
      <c r="D12" s="479" t="s">
        <v>55</v>
      </c>
      <c r="E12" s="346">
        <v>2400</v>
      </c>
      <c r="F12" s="345">
        <f>GETPIVOTDATA("Значение",Лист1!$B$2,"Серия","Прайм Широкий","Тип_шкафа","3-х дверный купе","Ширина",2400,"Высота",2300,"Глубина",570,"Наименование шкафа на сайте","Широкий Прайм 3-дверный (Зеркало, ЛДСП) окутанный","Признак_ВИ_Шкафа","Основной вариант")</f>
        <v>41730</v>
      </c>
      <c r="G12" s="345"/>
    </row>
    <row r="13" spans="1:7" ht="26.25" customHeight="1" x14ac:dyDescent="0.3">
      <c r="A13" s="379"/>
      <c r="B13" s="358"/>
      <c r="C13" s="359"/>
      <c r="D13" s="479"/>
      <c r="E13" s="346"/>
      <c r="F13" s="345"/>
      <c r="G13" s="345"/>
    </row>
    <row r="14" spans="1:7" ht="26.25" customHeight="1" x14ac:dyDescent="0.3">
      <c r="A14" s="379"/>
      <c r="B14" s="360"/>
      <c r="C14" s="361"/>
      <c r="D14" s="479" t="s">
        <v>907</v>
      </c>
      <c r="E14" s="346">
        <v>2400</v>
      </c>
      <c r="F14" s="480">
        <f>GETPIVOTDATA("Значение",Лист1!$B$2,"Серия","Прайм Широкий","Тип_шкафа","3-х дверный купе","Ширина",2400,"Высота",2300,"Глубина",570,"Наименование шкафа на сайте","Широкий Прайм 3-х дверный (ЛДСП, Стекло белое) окутанный","Признак_ВИ_Шкафа","Основной вариант")</f>
        <v>44670</v>
      </c>
      <c r="G14" s="481"/>
    </row>
    <row r="15" spans="1:7" ht="26.25" customHeight="1" x14ac:dyDescent="0.3">
      <c r="A15" s="379"/>
      <c r="B15" s="358"/>
      <c r="C15" s="359"/>
      <c r="D15" s="479"/>
      <c r="E15" s="346"/>
      <c r="F15" s="482"/>
      <c r="G15" s="483"/>
    </row>
    <row r="16" spans="1:7" ht="26.25" customHeight="1" x14ac:dyDescent="0.3">
      <c r="A16" s="379"/>
      <c r="B16" s="360"/>
      <c r="C16" s="361"/>
      <c r="D16" s="479" t="s">
        <v>903</v>
      </c>
      <c r="E16" s="346">
        <v>2400</v>
      </c>
      <c r="F16" s="480">
        <f>GETPIVOTDATA("Значение",Лист1!$B$2,"Серия","Прайм Широкий","Тип_шкафа","3-х дверный купе","Ширина",2400,"Высота",2300,"Глубина",570,"Наименование шкафа на сайте","Широкий Прайм 3-х дверный (Стекло белое, ЛДСП) окутанный","Признак_ВИ_Шкафа","Основной вариант")</f>
        <v>47990</v>
      </c>
      <c r="G16" s="481"/>
    </row>
    <row r="17" spans="1:7" ht="26.25" customHeight="1" thickBot="1" x14ac:dyDescent="0.35">
      <c r="A17" s="380"/>
      <c r="B17" s="358"/>
      <c r="C17" s="359"/>
      <c r="D17" s="479"/>
      <c r="E17" s="346"/>
      <c r="F17" s="482"/>
      <c r="G17" s="483"/>
    </row>
    <row r="18" spans="1:7" ht="21.75" customHeight="1" x14ac:dyDescent="0.3">
      <c r="A18" s="247"/>
      <c r="B18" s="350"/>
      <c r="C18" s="350"/>
      <c r="D18" s="355" t="s">
        <v>66</v>
      </c>
      <c r="E18" s="346"/>
      <c r="F18" s="345">
        <f>GETPIVOTDATA("Значение",Лист1!$Y$3,"Номенклатура","Угловой терминал ""Универсальный"" 350х505х2300","Вариант_исполнения","Белый снег","Ширина","350","Глубина","505","Высота","2300","Признак вставки","без вставки")</f>
        <v>4620</v>
      </c>
      <c r="G18" s="345"/>
    </row>
    <row r="19" spans="1:7" ht="21.75" customHeight="1" x14ac:dyDescent="0.3">
      <c r="A19" s="247"/>
      <c r="B19" s="350"/>
      <c r="C19" s="350"/>
      <c r="D19" s="355"/>
      <c r="E19" s="346"/>
      <c r="F19" s="345"/>
      <c r="G19" s="345"/>
    </row>
    <row r="20" spans="1:7" ht="12.75" customHeight="1" x14ac:dyDescent="0.3">
      <c r="A20" s="247"/>
      <c r="B20" s="350"/>
      <c r="C20" s="350"/>
      <c r="D20" s="355"/>
      <c r="E20" s="346"/>
      <c r="F20" s="345"/>
      <c r="G20" s="345"/>
    </row>
    <row r="21" spans="1:7" ht="19.5" customHeight="1" x14ac:dyDescent="0.3">
      <c r="A21" s="247"/>
      <c r="B21" s="350"/>
      <c r="C21" s="350"/>
      <c r="D21" s="355" t="s">
        <v>66</v>
      </c>
      <c r="E21" s="346" t="s">
        <v>852</v>
      </c>
      <c r="F21" s="345">
        <f>GETPIVOTDATA("Значение",Лист1!$Y$3,"Номенклатура","Угловой терминал ""Универсальный"" 350х505х2300_Белое стекло","Вариант_исполнения","Белый снег","Ширина","350","Глубина","505","Высота","2300","Признак вставки","с вставкой")</f>
        <v>5600</v>
      </c>
      <c r="G21" s="345"/>
    </row>
    <row r="22" spans="1:7" ht="20.25" customHeight="1" x14ac:dyDescent="0.3">
      <c r="A22" s="247"/>
      <c r="B22" s="350"/>
      <c r="C22" s="350"/>
      <c r="D22" s="355"/>
      <c r="E22" s="346"/>
      <c r="F22" s="345"/>
      <c r="G22" s="345"/>
    </row>
    <row r="23" spans="1:7" ht="15" customHeight="1" thickBot="1" x14ac:dyDescent="0.35">
      <c r="A23" s="247"/>
      <c r="B23" s="350"/>
      <c r="C23" s="350"/>
      <c r="D23" s="355"/>
      <c r="E23" s="346"/>
      <c r="F23" s="345"/>
      <c r="G23" s="345"/>
    </row>
    <row r="24" spans="1:7" ht="17.25" customHeight="1" x14ac:dyDescent="0.3">
      <c r="A24" s="381" t="s">
        <v>7</v>
      </c>
      <c r="B24" s="350"/>
      <c r="C24" s="350"/>
      <c r="D24" s="355" t="s">
        <v>6</v>
      </c>
      <c r="E24" s="346" t="s">
        <v>53</v>
      </c>
      <c r="F24" s="345">
        <f>GETPIVOTDATA("Значение",Лист1!$K:$P,"Вариант_исполнения","Венге","Ширина","500","Глубина","600","Высота","388","Комплектующая","Модуль")</f>
        <v>3430</v>
      </c>
      <c r="G24" s="345"/>
    </row>
    <row r="25" spans="1:7" ht="17.25" customHeight="1" x14ac:dyDescent="0.3">
      <c r="A25" s="382"/>
      <c r="B25" s="350"/>
      <c r="C25" s="350"/>
      <c r="D25" s="355"/>
      <c r="E25" s="346"/>
      <c r="F25" s="345"/>
      <c r="G25" s="345"/>
    </row>
    <row r="26" spans="1:7" ht="19.2" customHeight="1" thickBot="1" x14ac:dyDescent="0.35">
      <c r="A26" s="383"/>
      <c r="B26" s="350"/>
      <c r="C26" s="350"/>
      <c r="D26" s="355"/>
      <c r="E26" s="346"/>
      <c r="F26" s="345"/>
      <c r="G26" s="345"/>
    </row>
    <row r="27" spans="1:7" ht="17.25" customHeight="1" x14ac:dyDescent="0.3">
      <c r="A27" s="473" t="s">
        <v>3</v>
      </c>
      <c r="B27" s="91"/>
      <c r="C27" s="251"/>
      <c r="E27" s="245" t="s">
        <v>2</v>
      </c>
      <c r="F27" s="477" t="s">
        <v>1</v>
      </c>
      <c r="G27" s="478"/>
    </row>
    <row r="28" spans="1:7" ht="59.25" customHeight="1" thickBot="1" x14ac:dyDescent="0.35">
      <c r="A28" s="474"/>
      <c r="B28" s="394"/>
      <c r="C28" s="395"/>
      <c r="D28" s="65"/>
      <c r="E28" s="64"/>
      <c r="F28" s="337"/>
      <c r="G28" s="338"/>
    </row>
    <row r="29" spans="1:7" ht="14.4" customHeight="1" x14ac:dyDescent="0.3">
      <c r="A29" s="264"/>
      <c r="B29" s="265"/>
      <c r="C29" s="266" t="s">
        <v>977</v>
      </c>
      <c r="D29" s="265"/>
      <c r="E29" s="266"/>
      <c r="F29" s="266"/>
      <c r="G29" s="271"/>
    </row>
    <row r="30" spans="1:7" ht="14.4" customHeight="1" thickBot="1" x14ac:dyDescent="0.35">
      <c r="A30" s="268"/>
      <c r="B30" s="65"/>
      <c r="C30" s="269" t="s">
        <v>981</v>
      </c>
      <c r="D30" s="65"/>
      <c r="E30" s="269"/>
      <c r="F30" s="65"/>
      <c r="G30" s="2"/>
    </row>
  </sheetData>
  <mergeCells count="51">
    <mergeCell ref="F24:G26"/>
    <mergeCell ref="A27:A28"/>
    <mergeCell ref="F27:G27"/>
    <mergeCell ref="B28:C28"/>
    <mergeCell ref="F28:G28"/>
    <mergeCell ref="A24:A26"/>
    <mergeCell ref="B24:C26"/>
    <mergeCell ref="D24:D26"/>
    <mergeCell ref="E24:E26"/>
    <mergeCell ref="B18:C20"/>
    <mergeCell ref="D18:D20"/>
    <mergeCell ref="E18:E20"/>
    <mergeCell ref="F18:G20"/>
    <mergeCell ref="B21:C23"/>
    <mergeCell ref="D21:D23"/>
    <mergeCell ref="E21:E23"/>
    <mergeCell ref="F21:G23"/>
    <mergeCell ref="E10:E11"/>
    <mergeCell ref="F10:G11"/>
    <mergeCell ref="B12:C13"/>
    <mergeCell ref="D12:D13"/>
    <mergeCell ref="E12:E13"/>
    <mergeCell ref="F12:G13"/>
    <mergeCell ref="A5:A6"/>
    <mergeCell ref="B5:C6"/>
    <mergeCell ref="D5:D6"/>
    <mergeCell ref="E5:E6"/>
    <mergeCell ref="F5:G5"/>
    <mergeCell ref="E14:E15"/>
    <mergeCell ref="E16:E17"/>
    <mergeCell ref="F14:G15"/>
    <mergeCell ref="F16:G17"/>
    <mergeCell ref="A1:A4"/>
    <mergeCell ref="C1:F1"/>
    <mergeCell ref="G1:G2"/>
    <mergeCell ref="C2:D3"/>
    <mergeCell ref="G3:G4"/>
    <mergeCell ref="F6:G6"/>
    <mergeCell ref="A7:E7"/>
    <mergeCell ref="F7:G7"/>
    <mergeCell ref="B8:C9"/>
    <mergeCell ref="D8:D9"/>
    <mergeCell ref="E8:E9"/>
    <mergeCell ref="F8:G9"/>
    <mergeCell ref="D14:D15"/>
    <mergeCell ref="D16:D17"/>
    <mergeCell ref="B14:C15"/>
    <mergeCell ref="B16:C17"/>
    <mergeCell ref="A8:A17"/>
    <mergeCell ref="B10:C11"/>
    <mergeCell ref="D10:D11"/>
  </mergeCells>
  <pageMargins left="0.25" right="0.25" top="0.75" bottom="0.75" header="0.3" footer="0.3"/>
  <pageSetup paperSize="9" scale="6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396DC-4CAC-4752-B1FE-3DA1E46BDDAD}">
  <sheetPr codeName="Лист3">
    <pageSetUpPr fitToPage="1"/>
  </sheetPr>
  <dimension ref="A1:I125"/>
  <sheetViews>
    <sheetView showGridLines="0" zoomScale="85" zoomScaleNormal="85" zoomScaleSheetLayoutView="70" workbookViewId="0">
      <pane xSplit="3" ySplit="7" topLeftCell="D80" activePane="bottomRight" state="frozen"/>
      <selection activeCell="F13" sqref="F13:G13"/>
      <selection pane="topRight" activeCell="F13" sqref="F13:G13"/>
      <selection pane="bottomLeft" activeCell="F13" sqref="F13:G13"/>
      <selection pane="bottomRight" activeCell="B1" sqref="B1:E1"/>
    </sheetView>
  </sheetViews>
  <sheetFormatPr defaultColWidth="9.109375" defaultRowHeight="14.4" customHeight="1" x14ac:dyDescent="0.3"/>
  <cols>
    <col min="1" max="1" width="8.44140625" customWidth="1"/>
    <col min="2" max="2" width="38.5546875" customWidth="1"/>
    <col min="3" max="3" width="17.88671875" style="284" customWidth="1"/>
    <col min="4" max="4" width="14" customWidth="1"/>
    <col min="5" max="6" width="13.5546875" customWidth="1"/>
    <col min="7" max="7" width="22.44140625" bestFit="1" customWidth="1"/>
    <col min="8" max="8" width="13.5546875" customWidth="1"/>
    <col min="9" max="9" width="7.88671875" customWidth="1"/>
    <col min="10" max="22" width="9.109375" customWidth="1"/>
  </cols>
  <sheetData>
    <row r="1" spans="1:9" ht="15" customHeight="1" x14ac:dyDescent="0.3">
      <c r="A1" s="352"/>
      <c r="B1" s="520" t="s">
        <v>781</v>
      </c>
      <c r="C1" s="520"/>
      <c r="D1" s="520"/>
      <c r="E1" s="520"/>
      <c r="F1" s="420"/>
      <c r="G1" s="496" t="s">
        <v>782</v>
      </c>
      <c r="H1" s="498"/>
    </row>
    <row r="2" spans="1:9" ht="15" customHeight="1" x14ac:dyDescent="0.3">
      <c r="A2" s="353"/>
      <c r="B2" s="130" t="s">
        <v>26</v>
      </c>
      <c r="C2" s="521"/>
      <c r="D2" s="521"/>
      <c r="E2" s="42"/>
      <c r="F2" s="421"/>
      <c r="G2" s="497"/>
      <c r="H2" s="499"/>
    </row>
    <row r="3" spans="1:9" ht="15" customHeight="1" x14ac:dyDescent="0.3">
      <c r="A3" s="353"/>
      <c r="B3" s="41"/>
      <c r="C3" s="513" t="s">
        <v>25</v>
      </c>
      <c r="D3" s="513"/>
      <c r="E3" s="39">
        <v>45536</v>
      </c>
      <c r="F3" s="421"/>
      <c r="G3" s="496" t="s">
        <v>783</v>
      </c>
      <c r="H3" s="498"/>
    </row>
    <row r="4" spans="1:9" ht="12.75" customHeight="1" thickBot="1" x14ac:dyDescent="0.35">
      <c r="A4" s="354"/>
      <c r="B4" s="38"/>
      <c r="C4" s="281"/>
      <c r="D4" s="37"/>
      <c r="E4" s="36"/>
      <c r="F4" s="512"/>
      <c r="G4" s="497"/>
      <c r="H4" s="499"/>
    </row>
    <row r="5" spans="1:9" ht="14.25" customHeight="1" x14ac:dyDescent="0.3">
      <c r="A5" s="505" t="s">
        <v>24</v>
      </c>
      <c r="B5" s="506" t="s">
        <v>23</v>
      </c>
      <c r="C5" s="507" t="s">
        <v>22</v>
      </c>
      <c r="D5" s="374" t="s">
        <v>21</v>
      </c>
      <c r="E5" s="129" t="s">
        <v>20</v>
      </c>
      <c r="F5" s="143" t="s">
        <v>19</v>
      </c>
      <c r="G5" s="144" t="s">
        <v>20</v>
      </c>
      <c r="H5" s="145" t="s">
        <v>19</v>
      </c>
    </row>
    <row r="6" spans="1:9" ht="12.75" customHeight="1" thickBot="1" x14ac:dyDescent="0.35">
      <c r="A6" s="368"/>
      <c r="B6" s="397"/>
      <c r="C6" s="508"/>
      <c r="D6" s="377"/>
      <c r="E6" s="409" t="s">
        <v>18</v>
      </c>
      <c r="F6" s="410"/>
      <c r="G6" s="410"/>
      <c r="H6" s="411"/>
    </row>
    <row r="7" spans="1:9" ht="24" customHeight="1" thickBot="1" x14ac:dyDescent="0.35">
      <c r="A7" s="467" t="s">
        <v>985</v>
      </c>
      <c r="B7" s="468"/>
      <c r="C7" s="468"/>
      <c r="D7" s="469"/>
      <c r="E7" s="433" t="s">
        <v>860</v>
      </c>
      <c r="F7" s="500"/>
      <c r="G7" s="433" t="s">
        <v>16</v>
      </c>
      <c r="H7" s="434"/>
      <c r="I7" s="35"/>
    </row>
    <row r="8" spans="1:9" ht="17.25" customHeight="1" x14ac:dyDescent="0.3">
      <c r="A8" s="473" t="s">
        <v>2</v>
      </c>
      <c r="B8" s="509"/>
      <c r="C8" s="504" t="s">
        <v>15</v>
      </c>
      <c r="D8" s="14">
        <v>1600</v>
      </c>
      <c r="E8" s="24">
        <f>GETPIVOTDATA("Значение",Лист1!$B$2,"Серия","Эста","Тип_шкафа","2-х дверный купе","Ширина",1600,"Высота",2200,"Наименование шкафа на сайте","Эста 2-х дверный (8 ЛДСП)","Признак_ВИ_Шкафа","Основной вариант")</f>
        <v>40880</v>
      </c>
      <c r="F8" s="13">
        <f>GETPIVOTDATA("Значение",Лист1!$B$2,"Серия","Эста","Тип_шкафа","2-х дверный купе","Ширина",1600,"Высота",2400,"Наименование шкафа на сайте","Эста 2-х дверный (8 ЛДСП)","Признак_ВИ_Шкафа","Основной вариант")</f>
        <v>47980</v>
      </c>
      <c r="G8" s="23">
        <f>GETPIVOTDATA("Значение",Лист1!$B$2,"Серия","Эста","Тип_шкафа","2-х дверный купе","Ширина",1600,"Высота",2200,"Наименование шкафа на сайте","Эста 2-х дверный (8 ЛДСП)","Признак_ВИ_Шкафа","Новый вариант")</f>
        <v>45780</v>
      </c>
      <c r="H8" s="22">
        <f>GETPIVOTDATA("Значение",Лист1!$B$2,"Серия","Эста","Тип_шкафа","2-х дверный купе","Ширина",1600,"Высота",2400,"Наименование шкафа на сайте","Эста 2-х дверный (8 ЛДСП)","Признак_ВИ_Шкафа","Новый вариант")</f>
        <v>53720</v>
      </c>
      <c r="I8" s="34"/>
    </row>
    <row r="9" spans="1:9" ht="17.25" customHeight="1" x14ac:dyDescent="0.3">
      <c r="A9" s="501"/>
      <c r="B9" s="510"/>
      <c r="C9" s="492"/>
      <c r="D9" s="12">
        <v>1800</v>
      </c>
      <c r="E9" s="21">
        <f>GETPIVOTDATA("Значение",Лист1!$B$2,"Серия","Эста","Тип_шкафа","2-х дверный купе","Ширина",1800,"Высота",2200,"Наименование шкафа на сайте","Эста 2-х дверный (8 ЛДСП)","Признак_ВИ_Шкафа","Основной вариант")</f>
        <v>44410</v>
      </c>
      <c r="F9" s="11">
        <f>GETPIVOTDATA("Значение",Лист1!$B$2,"Серия","Эста","Тип_шкафа","2-х дверный купе","Ширина",1800,"Высота",2400,"Наименование шкафа на сайте","Эста 2-х дверный (8 ЛДСП)","Признак_ВИ_Шкафа","Основной вариант")</f>
        <v>51510</v>
      </c>
      <c r="G9" s="20">
        <f>GETPIVOTDATA("Значение",Лист1!$B$2,"Серия","Эста","Тип_шкафа","2-х дверный купе","Ширина",1800,"Высота",2200,"Наименование шкафа на сайте","Эста 2-х дверный (8 ЛДСП)","Признак_ВИ_Шкафа","Новый вариант")</f>
        <v>49740</v>
      </c>
      <c r="H9" s="19">
        <f>GETPIVOTDATA("Значение",Лист1!$B$2,"Серия","Эста","Тип_шкафа","2-х дверный купе","Ширина",1800,"Высота",2400,"Наименование шкафа на сайте","Эста 2-х дверный (8 ЛДСП)","Признак_ВИ_Шкафа","Новый вариант")</f>
        <v>57680</v>
      </c>
      <c r="I9" s="34"/>
    </row>
    <row r="10" spans="1:9" ht="17.25" customHeight="1" x14ac:dyDescent="0.3">
      <c r="A10" s="501"/>
      <c r="B10" s="510"/>
      <c r="C10" s="492"/>
      <c r="D10" s="12">
        <v>2000</v>
      </c>
      <c r="E10" s="21">
        <f>GETPIVOTDATA("Значение",Лист1!$B$2,"Серия","Эста","Тип_шкафа","2-х дверный купе","Ширина",2000,"Высота",2200,"Наименование шкафа на сайте","Эста 2-х дверный (8 ЛДСП)","Признак_ВИ_Шкафа","Основной вариант")</f>
        <v>47980</v>
      </c>
      <c r="F10" s="11">
        <f>GETPIVOTDATA("Значение",Лист1!$B$2,"Серия","Эста","Тип_шкафа","2-х дверный купе","Ширина",2000,"Высота",2400,"Наименование шкафа на сайте","Эста 2-х дверный (8 ЛДСП)","Признак_ВИ_Шкафа","Основной вариант")</f>
        <v>55060</v>
      </c>
      <c r="G10" s="20">
        <f>GETPIVOTDATA("Значение",Лист1!$B$2,"Серия","Эста","Тип_шкафа","2-х дверный купе","Ширина",2000,"Высота",2200,"Наименование шкафа на сайте","Эста 2-х дверный (8 ЛДСП)","Признак_ВИ_Шкафа","Новый вариант")</f>
        <v>53720</v>
      </c>
      <c r="H10" s="19">
        <f>GETPIVOTDATA("Значение",Лист1!$B$2,"Серия","Эста","Тип_шкафа","2-х дверный купе","Ширина",2000,"Высота",2400,"Наименование шкафа на сайте","Эста 2-х дверный (8 ЛДСП)","Признак_ВИ_Шкафа","Новый вариант")</f>
        <v>61660</v>
      </c>
      <c r="I10" s="33"/>
    </row>
    <row r="11" spans="1:9" ht="17.25" customHeight="1" x14ac:dyDescent="0.3">
      <c r="A11" s="501"/>
      <c r="B11" s="502"/>
      <c r="C11" s="492" t="s">
        <v>14</v>
      </c>
      <c r="D11" s="12">
        <v>1600</v>
      </c>
      <c r="E11" s="31">
        <f>GETPIVOTDATA("Значение",Лист1!$B$2,"Серия","Эста","Тип_шкафа","2-х дверный купе","Ширина",1600,"Высота",2200,"Наименование шкафа на сайте","Эста 2-х дверный Медиум (4 ЛДСП / 4 Зеркала)","Признак_ВИ_Шкафа","Основной вариант")</f>
        <v>46200</v>
      </c>
      <c r="F11" s="30">
        <f>GETPIVOTDATA("Значение",Лист1!$B$2,"Серия","Эста","Тип_шкафа","2-х дверный купе","Ширина",1600,"Высота",2400,"Наименование шкафа на сайте","Эста 2-х дверный Медиум (4 ЛДСП / 4 Зеркала)","Признак_ВИ_Шкафа","Основной вариант")</f>
        <v>53900</v>
      </c>
      <c r="G11" s="29">
        <f>GETPIVOTDATA("Значение",Лист1!$B$2,"Серия","Эста","Тип_шкафа","2-х дверный купе","Ширина",1600,"Высота",2200,"Наименование шкафа на сайте","Эста 2-х дверный Медиум (4 ЛДСП / 4 Зеркала)","Признак_ВИ_Шкафа","Новый вариант")</f>
        <v>50460</v>
      </c>
      <c r="H11" s="28">
        <f>GETPIVOTDATA("Значение",Лист1!$B$2,"Серия","Эста","Тип_шкафа","2-х дверный купе","Ширина",1600,"Высота",2400,"Наименование шкафа на сайте","Эста 2-х дверный Медиум (4 ЛДСП / 4 Зеркала)","Признак_ВИ_Шкафа","Новый вариант")</f>
        <v>59000</v>
      </c>
      <c r="I11" s="33"/>
    </row>
    <row r="12" spans="1:9" ht="17.25" customHeight="1" x14ac:dyDescent="0.3">
      <c r="A12" s="501"/>
      <c r="B12" s="502"/>
      <c r="C12" s="492"/>
      <c r="D12" s="12">
        <v>1800</v>
      </c>
      <c r="E12" s="21">
        <f>GETPIVOTDATA("Значение",Лист1!$B$2,"Серия","Эста","Тип_шкафа","2-х дверный купе","Ширина",1800,"Высота",2200,"Наименование шкафа на сайте","Эста 2-х дверный Медиум (4 ЛДСП / 4 Зеркала)","Признак_ВИ_Шкафа","Основной вариант")</f>
        <v>49730</v>
      </c>
      <c r="F12" s="11">
        <f>GETPIVOTDATA("Значение",Лист1!$B$2,"Серия","Эста","Тип_шкафа","2-х дверный купе","Ширина",1800,"Высота",2400,"Наименование шкафа на сайте","Эста 2-х дверный Медиум (4 ЛДСП / 4 Зеркала)","Признак_ВИ_Шкафа","Основной вариант")</f>
        <v>57430</v>
      </c>
      <c r="G12" s="20">
        <f>GETPIVOTDATA("Значение",Лист1!$B$2,"Серия","Эста","Тип_шкафа","2-х дверный купе","Ширина",1800,"Высота",2200,"Наименование шкафа на сайте","Эста 2-х дверный Медиум (4 ЛДСП / 4 Зеркала)","Признак_ВИ_Шкафа","Новый вариант")</f>
        <v>54420</v>
      </c>
      <c r="H12" s="19">
        <f>GETPIVOTDATA("Значение",Лист1!$B$2,"Серия","Эста","Тип_шкафа","2-х дверный купе","Ширина",1800,"Высота",2400,"Наименование шкафа на сайте","Эста 2-х дверный Медиум (4 ЛДСП / 4 Зеркала)","Признак_ВИ_Шкафа","Новый вариант")</f>
        <v>62960</v>
      </c>
      <c r="I12" s="33"/>
    </row>
    <row r="13" spans="1:9" ht="17.25" customHeight="1" x14ac:dyDescent="0.3">
      <c r="A13" s="501"/>
      <c r="B13" s="502"/>
      <c r="C13" s="492"/>
      <c r="D13" s="12">
        <v>2000</v>
      </c>
      <c r="E13" s="21">
        <f>GETPIVOTDATA("Значение",Лист1!$B$2,"Серия","Эста","Тип_шкафа","2-х дверный купе","Ширина",2000,"Высота",2200,"Наименование шкафа на сайте","Эста 2-х дверный Медиум (4 ЛДСП / 4 Зеркала)","Признак_ВИ_Шкафа","Основной вариант")</f>
        <v>53300</v>
      </c>
      <c r="F13" s="11">
        <f>GETPIVOTDATA("Значение",Лист1!$B$2,"Серия","Эста","Тип_шкафа","2-х дверный купе","Ширина",2000,"Высота",2400,"Наименование шкафа на сайте","Эста 2-х дверный Медиум (4 ЛДСП / 4 Зеркала)","Признак_ВИ_Шкафа","Основной вариант")</f>
        <v>60980</v>
      </c>
      <c r="G13" s="20">
        <f>GETPIVOTDATA("Значение",Лист1!$B$2,"Серия","Эста","Тип_шкафа","2-х дверный купе","Ширина",2000,"Высота",2200,"Наименование шкафа на сайте","Эста 2-х дверный Медиум (4 ЛДСП / 4 Зеркала)","Признак_ВИ_Шкафа","Новый вариант")</f>
        <v>58400</v>
      </c>
      <c r="H13" s="19">
        <f>GETPIVOTDATA("Значение",Лист1!$B$2,"Серия","Эста","Тип_шкафа","2-х дверный купе","Ширина",2000,"Высота",2400,"Наименование шкафа на сайте","Эста 2-х дверный Медиум (4 ЛДСП / 4 Зеркала)","Признак_ВИ_Шкафа","Новый вариант")</f>
        <v>66940</v>
      </c>
      <c r="I13" s="33"/>
    </row>
    <row r="14" spans="1:9" ht="17.25" customHeight="1" x14ac:dyDescent="0.3">
      <c r="A14" s="501"/>
      <c r="B14" s="489"/>
      <c r="C14" s="493" t="s">
        <v>992</v>
      </c>
      <c r="D14" s="12">
        <v>1600</v>
      </c>
      <c r="E14" s="31">
        <f>GETPIVOTDATA("Значение",Лист1!$B$2,"Серия","Эста","Тип_шкафа","2-х дверный купе","Ширина",1600,"Высота",2200,"Глубина",660,"Наименование шкафа на сайте","Эста 2-х дверный Комби (4 Зеркала бронза / 4 ЛДСП)","Признак_ВИ_Шкафа","Основной вариант")</f>
        <v>57140</v>
      </c>
      <c r="F14" s="30">
        <f>GETPIVOTDATA("Значение",Лист1!$B$2,"Серия","Эста","Тип_шкафа","2-х дверный купе","Ширина",1600,"Высота",2400,"Глубина",660,"Наименование шкафа на сайте","Эста 2-х дверный Комби (4 Зеркала бронза / 4 ЛДСП)","Признак_ВИ_Шкафа","Основной вариант")</f>
        <v>67500</v>
      </c>
      <c r="G14" s="29">
        <f>GETPIVOTDATA("Значение",Лист1!$B$2,"Серия","Эста","Тип_шкафа","2-х дверный купе","Ширина",1600,"Высота",2200,"Глубина",660,"Наименование шкафа на сайте","Эста 2-х дверный Комби (4 Зеркала бронза / 4 ЛДСП)","Признак_ВИ_Шкафа","Новый вариант")</f>
        <v>61400</v>
      </c>
      <c r="H14" s="280">
        <f>GETPIVOTDATA("Значение",Лист1!$B$2,"Серия","Эста","Тип_шкафа","2-х дверный купе","Ширина",1600,"Высота",2400,"Глубина",660,"Наименование шкафа на сайте","Эста 2-х дверный Комби (4 Зеркала бронза / 4 ЛДСП)","Признак_ВИ_Шкафа","Новый вариант")</f>
        <v>72600</v>
      </c>
      <c r="I14" s="33"/>
    </row>
    <row r="15" spans="1:9" ht="17.25" customHeight="1" x14ac:dyDescent="0.3">
      <c r="A15" s="501"/>
      <c r="B15" s="490"/>
      <c r="C15" s="494"/>
      <c r="D15" s="12">
        <v>1800</v>
      </c>
      <c r="E15" s="31">
        <f>GETPIVOTDATA("Значение",Лист1!$B$2,"Серия","Эста","Тип_шкафа","2-х дверный купе","Ширина",1800,"Высота",2200,"Глубина",660,"Наименование шкафа на сайте","Эста 2-х дверный Комби (4 Зеркала бронза / 4 ЛДСП)","Признак_ВИ_Шкафа","Основной вариант")</f>
        <v>60670</v>
      </c>
      <c r="F15" s="30">
        <f>GETPIVOTDATA("Значение",Лист1!$B$2,"Серия","Эста","Тип_шкафа","2-х дверный купе","Ширина",1800,"Высота",2400,"Глубина",660,"Наименование шкафа на сайте","Эста 2-х дверный Комби (4 Зеркала бронза / 4 ЛДСП)","Признак_ВИ_Шкафа","Основной вариант")</f>
        <v>71030</v>
      </c>
      <c r="G15" s="29">
        <f>GETPIVOTDATA("Значение",Лист1!$B$2,"Серия","Эста","Тип_шкафа","2-х дверный купе","Ширина",1800,"Высота",2200,"Глубина",660,"Наименование шкафа на сайте","Эста 2-х дверный Комби (4 Зеркала бронза / 4 ЛДСП)","Признак_ВИ_Шкафа","Новый вариант")</f>
        <v>65360</v>
      </c>
      <c r="H15" s="280">
        <f>GETPIVOTDATA("Значение",Лист1!$B$2,"Серия","Эста","Тип_шкафа","2-х дверный купе","Ширина",1800,"Высота",2400,"Глубина",660,"Наименование шкафа на сайте","Эста 2-х дверный Комби (4 Зеркала бронза / 4 ЛДСП)","Признак_ВИ_Шкафа","Новый вариант")</f>
        <v>76560</v>
      </c>
      <c r="I15" s="33"/>
    </row>
    <row r="16" spans="1:9" ht="17.25" customHeight="1" x14ac:dyDescent="0.3">
      <c r="A16" s="501"/>
      <c r="B16" s="491"/>
      <c r="C16" s="495"/>
      <c r="D16" s="12">
        <v>2000</v>
      </c>
      <c r="E16" s="31">
        <f>GETPIVOTDATA("Значение",Лист1!$B$2,"Серия","Эста","Тип_шкафа","2-х дверный купе","Ширина",2000,"Высота",2200,"Глубина",660,"Наименование шкафа на сайте","Эста 2-х дверный Комби (4 Зеркала бронза / 4 ЛДСП)","Признак_ВИ_Шкафа","Основной вариант")</f>
        <v>64240</v>
      </c>
      <c r="F16" s="30">
        <f>GETPIVOTDATA("Значение",Лист1!$B$2,"Серия","Эста","Тип_шкафа","2-х дверный купе","Ширина",2000,"Высота",2400,"Глубина",660,"Наименование шкафа на сайте","Эста 2-х дверный Комби (4 Зеркала бронза / 4 ЛДСП)","Признак_ВИ_Шкафа","Основной вариант")</f>
        <v>74580</v>
      </c>
      <c r="G16" s="29">
        <f>GETPIVOTDATA("Значение",Лист1!$B$2,"Серия","Эста","Тип_шкафа","2-х дверный купе","Ширина",2000,"Высота",2200,"Глубина",660,"Наименование шкафа на сайте","Эста 2-х дверный Комби (4 Зеркала бронза / 4 ЛДСП)","Признак_ВИ_Шкафа","Новый вариант")</f>
        <v>69340</v>
      </c>
      <c r="H16" s="280">
        <f>GETPIVOTDATA("Значение",Лист1!$B$2,"Серия","Эста","Тип_шкафа","2-х дверный купе","Ширина",2000,"Высота",2400,"Глубина",660,"Наименование шкафа на сайте","Эста 2-х дверный Комби (4 Зеркала бронза / 4 ЛДСП)","Признак_ВИ_Шкафа","Новый вариант")</f>
        <v>80540</v>
      </c>
      <c r="I16" s="33"/>
    </row>
    <row r="17" spans="1:9" ht="17.25" customHeight="1" x14ac:dyDescent="0.3">
      <c r="A17" s="501"/>
      <c r="B17" s="502"/>
      <c r="C17" s="492" t="s">
        <v>900</v>
      </c>
      <c r="D17" s="12">
        <v>1600</v>
      </c>
      <c r="E17" s="31">
        <f>GETPIVOTDATA("Значение",Лист1!$B$2,"Серия","Эста","Тип_шкафа","2-х дверный купе","Ширина",1600,"Высота",2200,"Наименование шкафа на сайте","Эста 2-х дверный Комби (4 ЛДСП / 4 Белых стекла)","Признак_ВИ_Шкафа","Основной вариант")</f>
        <v>48540</v>
      </c>
      <c r="F17" s="30">
        <f>GETPIVOTDATA("Значение",Лист1!$B$2,"Серия","Эста","Тип_шкафа","2-х дверный купе","Ширина",1600,"Высота",2400,"Наименование шкафа на сайте","Эста 2-х дверный Комби (4 ЛДСП / 4 Белых стекла)","Признак_ВИ_Шкафа","Основной вариант")</f>
        <v>56520</v>
      </c>
      <c r="G17" s="29">
        <f>GETPIVOTDATA("Значение",Лист1!$B$2,"Серия","Эста","Тип_шкафа","2-х дверный купе","Ширина",1600,"Высота",2200,"Наименование шкафа на сайте","Эста 2-х дверный Комби (4 ЛДСП / 4 Белых стекла)","Признак_ВИ_Шкафа","Новый вариант")</f>
        <v>52800</v>
      </c>
      <c r="H17" s="28">
        <f>GETPIVOTDATA("Значение",Лист1!$B$2,"Серия","Эста","Тип_шкафа","2-х дверный купе","Ширина",1600,"Высота",2400,"Наименование шкафа на сайте","Эста 2-х дверный Комби (4 ЛДСП / 4 Белых стекла)","Признак_ВИ_Шкафа","Новый вариант")</f>
        <v>61620</v>
      </c>
      <c r="I17" s="33"/>
    </row>
    <row r="18" spans="1:9" ht="17.25" customHeight="1" x14ac:dyDescent="0.3">
      <c r="A18" s="501"/>
      <c r="B18" s="502"/>
      <c r="C18" s="492"/>
      <c r="D18" s="12">
        <v>1800</v>
      </c>
      <c r="E18" s="21">
        <f>GETPIVOTDATA("Значение",Лист1!$B$2,"Серия","Эста","Тип_шкафа","2-х дверный купе","Ширина",1800,"Высота",2200,"Наименование шкафа на сайте","Эста 2-х дверный Комби (4 ЛДСП / 4 Белых стекла)","Признак_ВИ_Шкафа","Основной вариант")</f>
        <v>52070</v>
      </c>
      <c r="F18" s="11">
        <f>GETPIVOTDATA("Значение",Лист1!$B$2,"Серия","Эста","Тип_шкафа","2-х дверный купе","Ширина",1800,"Высота",2400,"Наименование шкафа на сайте","Эста 2-х дверный Комби (4 ЛДСП / 4 Белых стекла)","Признак_ВИ_Шкафа","Основной вариант")</f>
        <v>60050</v>
      </c>
      <c r="G18" s="20">
        <f>GETPIVOTDATA("Значение",Лист1!$B$2,"Серия","Эста","Тип_шкафа","2-х дверный купе","Ширина",1800,"Высота",2200,"Наименование шкафа на сайте","Эста 2-х дверный Комби (4 ЛДСП / 4 Белых стекла)","Признак_ВИ_Шкафа","Новый вариант")</f>
        <v>56760</v>
      </c>
      <c r="H18" s="19">
        <f>GETPIVOTDATA("Значение",Лист1!$B$2,"Серия","Эста","Тип_шкафа","2-х дверный купе","Ширина",1800,"Высота",2400,"Наименование шкафа на сайте","Эста 2-х дверный Комби (4 ЛДСП / 4 Белых стекла)","Признак_ВИ_Шкафа","Новый вариант")</f>
        <v>65580</v>
      </c>
      <c r="I18" s="33"/>
    </row>
    <row r="19" spans="1:9" ht="17.25" customHeight="1" x14ac:dyDescent="0.3">
      <c r="A19" s="501"/>
      <c r="B19" s="502"/>
      <c r="C19" s="492"/>
      <c r="D19" s="12">
        <v>2000</v>
      </c>
      <c r="E19" s="21">
        <f>GETPIVOTDATA("Значение",Лист1!$B$2,"Серия","Эста","Тип_шкафа","2-х дверный купе","Ширина",2000,"Высота",2200,"Наименование шкафа на сайте","Эста 2-х дверный Комби (4 ЛДСП / 4 Белых стекла)","Признак_ВИ_Шкафа","Основной вариант")</f>
        <v>55640</v>
      </c>
      <c r="F19" s="11">
        <f>GETPIVOTDATA("Значение",Лист1!$B$2,"Серия","Эста","Тип_шкафа","2-х дверный купе","Ширина",2000,"Высота",2400,"Наименование шкафа на сайте","Эста 2-х дверный Комби (4 ЛДСП / 4 Белых стекла)","Признак_ВИ_Шкафа","Основной вариант")</f>
        <v>63600</v>
      </c>
      <c r="G19" s="20">
        <f>GETPIVOTDATA("Значение",Лист1!$B$2,"Серия","Эста","Тип_шкафа","2-х дверный купе","Ширина",2000,"Высота",2200,"Наименование шкафа на сайте","Эста 2-х дверный Комби (4 ЛДСП / 4 Белых стекла)","Признак_ВИ_Шкафа","Новый вариант")</f>
        <v>60740</v>
      </c>
      <c r="H19" s="19">
        <f>GETPIVOTDATA("Значение",Лист1!$B$2,"Серия","Эста","Тип_шкафа","2-х дверный купе","Ширина",2000,"Высота",2400,"Наименование шкафа на сайте","Эста 2-х дверный Комби (4 ЛДСП / 4 Белых стекла)","Признак_ВИ_Шкафа","Новый вариант")</f>
        <v>69560</v>
      </c>
      <c r="I19" s="33"/>
    </row>
    <row r="20" spans="1:9" ht="17.25" customHeight="1" x14ac:dyDescent="0.3">
      <c r="A20" s="501"/>
      <c r="B20" s="502"/>
      <c r="C20" s="492" t="s">
        <v>13</v>
      </c>
      <c r="D20" s="12">
        <v>1600</v>
      </c>
      <c r="E20" s="31">
        <f>GETPIVOTDATA("Значение",Лист1!$B$2,"Серия","Эста","Тип_шкафа","2-х дверный купе","Ширина",1600,"Высота",2200,"Наименование шкафа на сайте","Эста 2-х дверный (8 Зеркал)","Признак_ВИ_Шкафа","Основной вариант")</f>
        <v>51520</v>
      </c>
      <c r="F20" s="30">
        <f>GETPIVOTDATA("Значение",Лист1!$B$2,"Серия","Эста","Тип_шкафа","2-х дверный купе","Ширина",1600,"Высота",2400,"Наименование шкафа на сайте","Эста 2-х дверный (8 Зеркал)","Признак_ВИ_Шкафа","Основной вариант")</f>
        <v>59820</v>
      </c>
      <c r="G20" s="29">
        <f>GETPIVOTDATA("Значение",Лист1!$B$2,"Серия","Эста","Тип_шкафа","2-х дверный купе","Ширина",1600,"Высота",2200,"Наименование шкафа на сайте","Эста 2-х дверный (8 Зеркал)","Признак_ВИ_Шкафа","Новый вариант")</f>
        <v>55140</v>
      </c>
      <c r="H20" s="28">
        <f>GETPIVOTDATA("Значение",Лист1!$B$2,"Серия","Эста","Тип_шкафа","2-х дверный купе","Ширина",1600,"Высота",2400,"Наименование шкафа на сайте","Эста 2-х дверный (8 Зеркал)","Признак_ВИ_Шкафа","Новый вариант")</f>
        <v>64280</v>
      </c>
      <c r="I20" s="32"/>
    </row>
    <row r="21" spans="1:9" ht="17.25" customHeight="1" x14ac:dyDescent="0.3">
      <c r="A21" s="501"/>
      <c r="B21" s="502"/>
      <c r="C21" s="492"/>
      <c r="D21" s="12">
        <v>1800</v>
      </c>
      <c r="E21" s="21">
        <f>GETPIVOTDATA("Значение",Лист1!$B$2,"Серия","Эста","Тип_шкафа","2-х дверный купе","Ширина",1800,"Высота",2200,"Наименование шкафа на сайте","Эста 2-х дверный (8 Зеркал)","Признак_ВИ_Шкафа","Основной вариант")</f>
        <v>55050</v>
      </c>
      <c r="F21" s="11">
        <f>GETPIVOTDATA("Значение",Лист1!$B$2,"Серия","Эста","Тип_шкафа","2-х дверный купе","Ширина",1800,"Высота",2400,"Наименование шкафа на сайте","Эста 2-х дверный (8 Зеркал)","Признак_ВИ_Шкафа","Основной вариант")</f>
        <v>63350</v>
      </c>
      <c r="G21" s="20">
        <f>GETPIVOTDATA("Значение",Лист1!$B$2,"Серия","Эста","Тип_шкафа","2-х дверный купе","Ширина",1800,"Высота",2200,"Наименование шкафа на сайте","Эста 2-х дверный (8 Зеркал)","Признак_ВИ_Шкафа","Новый вариант")</f>
        <v>59100</v>
      </c>
      <c r="H21" s="19">
        <f>GETPIVOTDATA("Значение",Лист1!$B$2,"Серия","Эста","Тип_шкафа","2-х дверный купе","Ширина",1800,"Высота",2400,"Наименование шкафа на сайте","Эста 2-х дверный (8 Зеркал)","Признак_ВИ_Шкафа","Новый вариант")</f>
        <v>68240</v>
      </c>
      <c r="I21" s="32"/>
    </row>
    <row r="22" spans="1:9" ht="17.25" customHeight="1" x14ac:dyDescent="0.3">
      <c r="A22" s="501"/>
      <c r="B22" s="502"/>
      <c r="C22" s="492"/>
      <c r="D22" s="12">
        <v>2000</v>
      </c>
      <c r="E22" s="21">
        <f>GETPIVOTDATA("Значение",Лист1!$B$2,"Серия","Эста","Тип_шкафа","2-х дверный купе","Ширина",2000,"Высота",2200,"Наименование шкафа на сайте","Эста 2-х дверный (8 Зеркал)","Признак_ВИ_Шкафа","Основной вариант")</f>
        <v>58620</v>
      </c>
      <c r="F22" s="11">
        <f>GETPIVOTDATA("Значение",Лист1!$B$2,"Серия","Эста","Тип_шкафа","2-х дверный купе","Ширина",2000,"Высота",2400,"Наименование шкафа на сайте","Эста 2-х дверный (8 Зеркал)","Признак_ВИ_Шкафа","Основной вариант")</f>
        <v>66900</v>
      </c>
      <c r="G22" s="20">
        <f>GETPIVOTDATA("Значение",Лист1!$B$2,"Серия","Эста","Тип_шкафа","2-х дверный купе","Ширина",2000,"Высота",2200,"Наименование шкафа на сайте","Эста 2-х дверный (8 Зеркал)","Признак_ВИ_Шкафа","Новый вариант")</f>
        <v>63080</v>
      </c>
      <c r="H22" s="19">
        <f>GETPIVOTDATA("Значение",Лист1!$B$2,"Серия","Эста","Тип_шкафа","2-х дверный купе","Ширина",2000,"Высота",2400,"Наименование шкафа на сайте","Эста 2-х дверный (8 Зеркал)","Признак_ВИ_Шкафа","Новый вариант")</f>
        <v>72220</v>
      </c>
      <c r="I22" s="32"/>
    </row>
    <row r="23" spans="1:9" ht="17.25" customHeight="1" x14ac:dyDescent="0.3">
      <c r="A23" s="501"/>
      <c r="B23" s="489"/>
      <c r="C23" s="493" t="s">
        <v>993</v>
      </c>
      <c r="D23" s="12">
        <v>1600</v>
      </c>
      <c r="E23" s="31">
        <f>GETPIVOTDATA("Значение",Лист1!$B$2,"Серия","Эста","Тип_шкафа","2-х дверный купе","Ширина",1600,"Высота",2200,"Глубина",660,"Наименование шкафа на сайте","Эста 2-х дверный (8 Зеркал бронза)","Признак_ВИ_Шкафа","Основной вариант")</f>
        <v>73400</v>
      </c>
      <c r="F23" s="30">
        <f>GETPIVOTDATA("Значение",Лист1!$B$2,"Серия","Эста","Тип_шкафа","2-х дверный купе","Ширина",1600,"Высота",2400,"Глубина",660,"Наименование шкафа на сайте","Эста 2-х дверный (8 Зеркал бронза)","Признак_ВИ_Шкафа","Основной вариант")</f>
        <v>87020</v>
      </c>
      <c r="G23" s="29">
        <f>GETPIVOTDATA("Значение",Лист1!$B$2,"Серия","Эста","Тип_шкафа","2-х дверный купе","Ширина",1600,"Высота",2200,"Глубина",660,"Наименование шкафа на сайте","Эста 2-х дверный (8 Зеркал бронза)","Признак_ВИ_Шкафа","Новый вариант")</f>
        <v>77020</v>
      </c>
      <c r="H23" s="280">
        <f>GETPIVOTDATA("Значение",Лист1!$B$2,"Серия","Эста","Тип_шкафа","2-х дверный купе","Ширина",1600,"Высота",2400,"Глубина",660,"Наименование шкафа на сайте","Эста 2-х дверный (8 Зеркал бронза)","Признак_ВИ_Шкафа","Новый вариант")</f>
        <v>91480</v>
      </c>
      <c r="I23" s="32"/>
    </row>
    <row r="24" spans="1:9" ht="17.25" customHeight="1" x14ac:dyDescent="0.3">
      <c r="A24" s="501"/>
      <c r="B24" s="490"/>
      <c r="C24" s="494"/>
      <c r="D24" s="12">
        <v>1800</v>
      </c>
      <c r="E24" s="31">
        <f>GETPIVOTDATA("Значение",Лист1!$B$2,"Серия","Эста","Тип_шкафа","2-х дверный купе","Ширина",1800,"Высота",2200,"Глубина",660,"Наименование шкафа на сайте","Эста 2-х дверный (8 Зеркал бронза)","Признак_ВИ_Шкафа","Основной вариант")</f>
        <v>76930</v>
      </c>
      <c r="F24" s="30">
        <f>GETPIVOTDATA("Значение",Лист1!$B$2,"Серия","Эста","Тип_шкафа","2-х дверный купе","Ширина",1800,"Высота",2400,"Глубина",660,"Наименование шкафа на сайте","Эста 2-х дверный (8 Зеркал бронза)","Признак_ВИ_Шкафа","Основной вариант")</f>
        <v>90550</v>
      </c>
      <c r="G24" s="29">
        <f>GETPIVOTDATA("Значение",Лист1!$B$2,"Серия","Эста","Тип_шкафа","2-х дверный купе","Ширина",1800,"Высота",2200,"Глубина",660,"Наименование шкафа на сайте","Эста 2-х дверный (8 Зеркал бронза)","Признак_ВИ_Шкафа","Новый вариант")</f>
        <v>80980</v>
      </c>
      <c r="H24" s="280">
        <f>GETPIVOTDATA("Значение",Лист1!$B$2,"Серия","Эста","Тип_шкафа","2-х дверный купе","Ширина",1800,"Высота",2400,"Глубина",660,"Наименование шкафа на сайте","Эста 2-х дверный (8 Зеркал бронза)","Признак_ВИ_Шкафа","Новый вариант")</f>
        <v>95440</v>
      </c>
      <c r="I24" s="32"/>
    </row>
    <row r="25" spans="1:9" ht="17.25" customHeight="1" x14ac:dyDescent="0.3">
      <c r="A25" s="501"/>
      <c r="B25" s="491"/>
      <c r="C25" s="495"/>
      <c r="D25" s="12">
        <v>2000</v>
      </c>
      <c r="E25" s="31">
        <f>GETPIVOTDATA("Значение",Лист1!$B$2,"Серия","Эста","Тип_шкафа","2-х дверный купе","Ширина",2000,"Высота",2200,"Глубина",660,"Наименование шкафа на сайте","Эста 2-х дверный (8 Зеркал бронза)","Признак_ВИ_Шкафа","Основной вариант")</f>
        <v>80500</v>
      </c>
      <c r="F25" s="30">
        <f>GETPIVOTDATA("Значение",Лист1!$B$2,"Серия","Эста","Тип_шкафа","2-х дверный купе","Ширина",2000,"Высота",2400,"Глубина",660,"Наименование шкафа на сайте","Эста 2-х дверный (8 Зеркал бронза)","Признак_ВИ_Шкафа","Основной вариант")</f>
        <v>94100</v>
      </c>
      <c r="G25" s="29">
        <f>GETPIVOTDATA("Значение",Лист1!$B$2,"Серия","Эста","Тип_шкафа","2-х дверный купе","Ширина",2000,"Высота",2200,"Глубина",660,"Наименование шкафа на сайте","Эста 2-х дверный (8 Зеркал бронза)","Признак_ВИ_Шкафа","Новый вариант")</f>
        <v>84960</v>
      </c>
      <c r="H25" s="280">
        <f>GETPIVOTDATA("Значение",Лист1!$B$2,"Серия","Эста","Тип_шкафа","2-х дверный купе","Ширина",2000,"Высота",2400,"Глубина",660,"Наименование шкафа на сайте","Эста 2-х дверный (8 Зеркал бронза)","Признак_ВИ_Шкафа","Новый вариант")</f>
        <v>99420</v>
      </c>
      <c r="I25" s="32"/>
    </row>
    <row r="26" spans="1:9" ht="16.5" customHeight="1" x14ac:dyDescent="0.3">
      <c r="A26" s="501"/>
      <c r="B26" s="502"/>
      <c r="C26" s="492" t="s">
        <v>908</v>
      </c>
      <c r="D26" s="12">
        <v>1600</v>
      </c>
      <c r="E26" s="31">
        <f>GETPIVOTDATA("Значение",Лист1!$B$2,"Серия","Эста","Тип_шкафа","2-х дверный купе","Ширина",1600,"Высота",2200,"Наименование шкафа на сайте","Эста 2-х дверный Медиум (4 Зеркала / 4 Белых стекла)","Признак_ВИ_Шкафа","Основной вариант")</f>
        <v>53860</v>
      </c>
      <c r="F26" s="30">
        <f>GETPIVOTDATA("Значение",Лист1!$B$2,"Серия","Эста","Тип_шкафа","2-х дверный купе","Ширина",1600,"Высота",2400,"Наименование шкафа на сайте","Эста 2-х дверный Медиум (4 Зеркала / 4 Белых стекла)","Признак_ВИ_Шкафа","Основной вариант")</f>
        <v>62440</v>
      </c>
      <c r="G26" s="29">
        <f>GETPIVOTDATA("Значение",Лист1!$B$2,"Серия","Эста","Тип_шкафа","2-х дверный купе","Ширина",1600,"Высота",2200,"Наименование шкафа на сайте","Эста 2-х дверный Медиум (4 Зеркала / 4 Белых стекла)","Признак_ВИ_Шкафа","Новый вариант")</f>
        <v>57480</v>
      </c>
      <c r="H26" s="28">
        <f>GETPIVOTDATA("Значение",Лист1!$B$2,"Серия","Эста","Тип_шкафа","2-х дверный купе","Ширина",1600,"Высота",2400,"Наименование шкафа на сайте","Эста 2-х дверный Медиум (4 Зеркала / 4 Белых стекла)","Признак_ВИ_Шкафа","Новый вариант")</f>
        <v>66900</v>
      </c>
      <c r="I26" s="32" t="s">
        <v>0</v>
      </c>
    </row>
    <row r="27" spans="1:9" ht="16.5" customHeight="1" x14ac:dyDescent="0.3">
      <c r="A27" s="501"/>
      <c r="B27" s="502"/>
      <c r="C27" s="492"/>
      <c r="D27" s="12">
        <v>1800</v>
      </c>
      <c r="E27" s="21">
        <f>GETPIVOTDATA("Значение",Лист1!$B$2,"Серия","Эста","Тип_шкафа","2-х дверный купе","Ширина",1800,"Высота",2200,"Наименование шкафа на сайте","Эста 2-х дверный Медиум (4 Зеркала / 4 Белых стекла)","Признак_ВИ_Шкафа","Основной вариант")</f>
        <v>57390</v>
      </c>
      <c r="F27" s="11">
        <f>GETPIVOTDATA("Значение",Лист1!$B$2,"Серия","Эста","Тип_шкафа","2-х дверный купе","Ширина",1800,"Высота",2400,"Наименование шкафа на сайте","Эста 2-х дверный Медиум (4 Зеркала / 4 Белых стекла)","Признак_ВИ_Шкафа","Основной вариант")</f>
        <v>65970</v>
      </c>
      <c r="G27" s="20">
        <f>GETPIVOTDATA("Значение",Лист1!$B$2,"Серия","Эста","Тип_шкафа","2-х дверный купе","Ширина",1800,"Высота",2200,"Наименование шкафа на сайте","Эста 2-х дверный Медиум (4 Зеркала / 4 Белых стекла)","Признак_ВИ_Шкафа","Новый вариант")</f>
        <v>61440</v>
      </c>
      <c r="H27" s="19">
        <f>GETPIVOTDATA("Значение",Лист1!$B$2,"Серия","Эста","Тип_шкафа","2-х дверный купе","Ширина",1800,"Высота",2400,"Наименование шкафа на сайте","Эста 2-х дверный Медиум (4 Зеркала / 4 Белых стекла)","Признак_ВИ_Шкафа","Новый вариант")</f>
        <v>70860</v>
      </c>
      <c r="I27" s="32"/>
    </row>
    <row r="28" spans="1:9" ht="16.5" customHeight="1" x14ac:dyDescent="0.3">
      <c r="A28" s="501"/>
      <c r="B28" s="502"/>
      <c r="C28" s="492"/>
      <c r="D28" s="12">
        <v>2000</v>
      </c>
      <c r="E28" s="21">
        <f>GETPIVOTDATA("Значение",Лист1!$B$2,"Серия","Эста","Тип_шкафа","2-х дверный купе","Ширина",2000,"Высота",2200,"Наименование шкафа на сайте","Эста 2-х дверный Медиум (4 Зеркала / 4 Белых стекла)","Признак_ВИ_Шкафа","Основной вариант")</f>
        <v>60960</v>
      </c>
      <c r="F28" s="11">
        <f>GETPIVOTDATA("Значение",Лист1!$B$2,"Серия","Эста","Тип_шкафа","2-х дверный купе","Ширина",2000,"Высота",2400,"Наименование шкафа на сайте","Эста 2-х дверный Медиум (4 Зеркала / 4 Белых стекла)","Признак_ВИ_Шкафа","Основной вариант")</f>
        <v>69520</v>
      </c>
      <c r="G28" s="20">
        <f>GETPIVOTDATA("Значение",Лист1!$B$2,"Серия","Эста","Тип_шкафа","2-х дверный купе","Ширина",2000,"Высота",2200,"Наименование шкафа на сайте","Эста 2-х дверный Медиум (4 Зеркала / 4 Белых стекла)","Признак_ВИ_Шкафа","Новый вариант")</f>
        <v>65420</v>
      </c>
      <c r="H28" s="19">
        <f>GETPIVOTDATA("Значение",Лист1!$B$2,"Серия","Эста","Тип_шкафа","2-х дверный купе","Ширина",2000,"Высота",2400,"Наименование шкафа на сайте","Эста 2-х дверный Медиум (4 Зеркала / 4 Белых стекла)","Признак_ВИ_Шкафа","Новый вариант")</f>
        <v>74840</v>
      </c>
      <c r="I28" s="32"/>
    </row>
    <row r="29" spans="1:9" ht="16.5" customHeight="1" x14ac:dyDescent="0.3">
      <c r="A29" s="501"/>
      <c r="B29" s="489"/>
      <c r="C29" s="493" t="s">
        <v>994</v>
      </c>
      <c r="D29" s="12">
        <v>1600</v>
      </c>
      <c r="E29" s="31">
        <f>GETPIVOTDATA("Значение",Лист1!$B$2,"Серия","Эста","Тип_шкафа","2-х дверный купе","Ширина",1600,"Высота",2200,"Глубина",660,"Наименование шкафа на сайте","Эста 2-х дверный Медиум (4 Зеркала бронза / 4 Белых стекла)","Признак_ВИ_Шкафа","Основной вариант")</f>
        <v>64800</v>
      </c>
      <c r="F29" s="30">
        <f>GETPIVOTDATA("Значение",Лист1!$B$2,"Серия","Эста","Тип_шкафа","2-х дверный купе","Ширина",1600,"Высота",2400,"Глубина",660,"Наименование шкафа на сайте","Эста 2-х дверный Медиум (4 Зеркала бронза / 4 Белых стекла)","Признак_ВИ_Шкафа","Основной вариант")</f>
        <v>76040</v>
      </c>
      <c r="G29" s="29">
        <f>GETPIVOTDATA("Значение",Лист1!$B$2,"Серия","Эста","Тип_шкафа","2-х дверный купе","Ширина",1600,"Высота",2200,"Глубина",660,"Наименование шкафа на сайте","Эста 2-х дверный Медиум (4 Зеркала бронза / 4 Белых стекла)","Признак_ВИ_Шкафа","Новый вариант")</f>
        <v>68420</v>
      </c>
      <c r="H29" s="280">
        <f>GETPIVOTDATA("Значение",Лист1!$B$2,"Серия","Эста","Тип_шкафа","2-х дверный купе","Ширина",1600,"Высота",2400,"Глубина",660,"Наименование шкафа на сайте","Эста 2-х дверный Медиум (4 Зеркала бронза / 4 Белых стекла)","Признак_ВИ_Шкафа","Новый вариант")</f>
        <v>80500</v>
      </c>
      <c r="I29" s="32"/>
    </row>
    <row r="30" spans="1:9" ht="16.5" customHeight="1" x14ac:dyDescent="0.3">
      <c r="A30" s="501"/>
      <c r="B30" s="490"/>
      <c r="C30" s="494"/>
      <c r="D30" s="12">
        <v>1800</v>
      </c>
      <c r="E30" s="31">
        <f>GETPIVOTDATA("Значение",Лист1!$B$2,"Серия","Эста","Тип_шкафа","2-х дверный купе","Ширина",1800,"Высота",2200,"Глубина",660,"Наименование шкафа на сайте","Эста 2-х дверный Медиум (4 Зеркала бронза / 4 Белых стекла)","Признак_ВИ_Шкафа","Основной вариант")</f>
        <v>68330</v>
      </c>
      <c r="F30" s="30">
        <f>GETPIVOTDATA("Значение",Лист1!$B$2,"Серия","Эста","Тип_шкафа","2-х дверный купе","Ширина",1800,"Высота",2400,"Глубина",660,"Наименование шкафа на сайте","Эста 2-х дверный Медиум (4 Зеркала бронза / 4 Белых стекла)","Признак_ВИ_Шкафа","Основной вариант")</f>
        <v>79570</v>
      </c>
      <c r="G30" s="29">
        <f>GETPIVOTDATA("Значение",Лист1!$B$2,"Серия","Эста","Тип_шкафа","2-х дверный купе","Ширина",1800,"Высота",2200,"Глубина",660,"Наименование шкафа на сайте","Эста 2-х дверный Медиум (4 Зеркала бронза / 4 Белых стекла)","Признак_ВИ_Шкафа","Новый вариант")</f>
        <v>72380</v>
      </c>
      <c r="H30" s="280">
        <f>GETPIVOTDATA("Значение",Лист1!$B$2,"Серия","Эста","Тип_шкафа","2-х дверный купе","Ширина",1800,"Высота",2400,"Глубина",660,"Наименование шкафа на сайте","Эста 2-х дверный Медиум (4 Зеркала бронза / 4 Белых стекла)","Признак_ВИ_Шкафа","Новый вариант")</f>
        <v>84460</v>
      </c>
      <c r="I30" s="32"/>
    </row>
    <row r="31" spans="1:9" ht="16.5" customHeight="1" x14ac:dyDescent="0.3">
      <c r="A31" s="501"/>
      <c r="B31" s="491"/>
      <c r="C31" s="495"/>
      <c r="D31" s="12">
        <v>2000</v>
      </c>
      <c r="E31" s="31">
        <f>GETPIVOTDATA("Значение",Лист1!$B$2,"Серия","Эста","Тип_шкафа","2-х дверный купе","Ширина",2000,"Высота",2200,"Глубина",660,"Наименование шкафа на сайте","Эста 2-х дверный Медиум (4 Зеркала бронза / 4 Белых стекла)","Признак_ВИ_Шкафа","Основной вариант")</f>
        <v>71900</v>
      </c>
      <c r="F31" s="30">
        <f>GETPIVOTDATA("Значение",Лист1!$B$2,"Серия","Эста","Тип_шкафа","2-х дверный купе","Ширина",2000,"Высота",2400,"Глубина",660,"Наименование шкафа на сайте","Эста 2-х дверный Медиум (4 Зеркала бронза / 4 Белых стекла)","Признак_ВИ_Шкафа","Основной вариант")</f>
        <v>83120</v>
      </c>
      <c r="G31" s="29">
        <f>GETPIVOTDATA("Значение",Лист1!$B$2,"Серия","Эста","Тип_шкафа","2-х дверный купе","Ширина",2000,"Высота",2200,"Глубина",660,"Наименование шкафа на сайте","Эста 2-х дверный Медиум (4 Зеркала бронза / 4 Белых стекла)","Признак_ВИ_Шкафа","Новый вариант")</f>
        <v>76360</v>
      </c>
      <c r="H31" s="280">
        <f>GETPIVOTDATA("Значение",Лист1!$B$2,"Серия","Эста","Тип_шкафа","2-х дверный купе","Ширина",2000,"Высота",2400,"Глубина",660,"Наименование шкафа на сайте","Эста 2-х дверный Медиум (4 Зеркала бронза / 4 Белых стекла)","Признак_ВИ_Шкафа","Новый вариант")</f>
        <v>88440</v>
      </c>
      <c r="I31" s="32"/>
    </row>
    <row r="32" spans="1:9" ht="16.5" customHeight="1" x14ac:dyDescent="0.3">
      <c r="A32" s="501"/>
      <c r="B32" s="502"/>
      <c r="C32" s="492" t="s">
        <v>902</v>
      </c>
      <c r="D32" s="12">
        <v>1600</v>
      </c>
      <c r="E32" s="31">
        <f>GETPIVOTDATA("Значение",Лист1!$B$2,"Серия","Эста","Тип_шкафа","2-х дверный купе","Ширина",1600,"Высота",2200,"Наименование шкафа на сайте","Эста 2-х дверный Медиум (4 Белых стекла / 4 Чернах стекла)","Признак_ВИ_Шкафа","Основной вариант")</f>
        <v>56200</v>
      </c>
      <c r="F32" s="30">
        <f>GETPIVOTDATA("Значение",Лист1!$B$2,"Серия","Эста","Тип_шкафа","2-х дверный купе","Ширина",1600,"Высота",2400,"Наименование шкафа на сайте","Эста 2-х дверный Медиум (4 Белых стекла / 4 Чернах стекла)","Признак_ВИ_Шкафа","Основной вариант")</f>
        <v>65060</v>
      </c>
      <c r="G32" s="29">
        <f>GETPIVOTDATA("Значение",Лист1!$B$2,"Серия","Эста","Тип_шкафа","2-х дверный купе","Ширина",1600,"Высота",2200,"Наименование шкафа на сайте","Эста 2-х дверный Медиум (4 Белых стекла / 4 Чернах стекла)","Признак_ВИ_Шкафа","Новый вариант")</f>
        <v>59820</v>
      </c>
      <c r="H32" s="28">
        <f>GETPIVOTDATA("Значение",Лист1!$B$2,"Серия","Эста","Тип_шкафа","2-х дверный купе","Ширина",1600,"Высота",2400,"Наименование шкафа на сайте","Эста 2-х дверный Медиум (4 Белых стекла / 4 Чернах стекла)","Признак_ВИ_Шкафа","Новый вариант")</f>
        <v>69520</v>
      </c>
    </row>
    <row r="33" spans="1:8" ht="16.5" customHeight="1" x14ac:dyDescent="0.3">
      <c r="A33" s="501"/>
      <c r="B33" s="502"/>
      <c r="C33" s="492"/>
      <c r="D33" s="12">
        <v>1800</v>
      </c>
      <c r="E33" s="21">
        <f>GETPIVOTDATA("Значение",Лист1!$B$2,"Серия","Эста","Тип_шкафа","2-х дверный купе","Ширина",1800,"Высота",2200,"Наименование шкафа на сайте","Эста 2-х дверный Медиум (4 Белых стекла / 4 Чернах стекла)","Признак_ВИ_Шкафа","Основной вариант")</f>
        <v>59730</v>
      </c>
      <c r="F33" s="11">
        <f>GETPIVOTDATA("Значение",Лист1!$B$2,"Серия","Эста","Тип_шкафа","2-х дверный купе","Ширина",1800,"Высота",2400,"Наименование шкафа на сайте","Эста 2-х дверный Медиум (4 Белых стекла / 4 Чернах стекла)","Признак_ВИ_Шкафа","Основной вариант")</f>
        <v>68590</v>
      </c>
      <c r="G33" s="20">
        <f>GETPIVOTDATA("Значение",Лист1!$B$2,"Серия","Эста","Тип_шкафа","2-х дверный купе","Ширина",1800,"Высота",2200,"Наименование шкафа на сайте","Эста 2-х дверный Медиум (4 Белых стекла / 4 Чернах стекла)","Признак_ВИ_Шкафа","Новый вариант")</f>
        <v>63780</v>
      </c>
      <c r="H33" s="19">
        <f>GETPIVOTDATA("Значение",Лист1!$B$2,"Серия","Эста","Тип_шкафа","2-х дверный купе","Ширина",1800,"Высота",2400,"Наименование шкафа на сайте","Эста 2-х дверный Медиум (4 Белых стекла / 4 Чернах стекла)","Признак_ВИ_Шкафа","Новый вариант")</f>
        <v>73480</v>
      </c>
    </row>
    <row r="34" spans="1:8" ht="16.5" customHeight="1" thickBot="1" x14ac:dyDescent="0.35">
      <c r="A34" s="474"/>
      <c r="B34" s="522"/>
      <c r="C34" s="523"/>
      <c r="D34" s="12">
        <v>2000</v>
      </c>
      <c r="E34" s="27">
        <f>GETPIVOTDATA("Значение",Лист1!$B$2,"Серия","Эста","Тип_шкафа","2-х дверный купе","Ширина",2000,"Высота",2200,"Наименование шкафа на сайте","Эста 2-х дверный Медиум (4 Белых стекла / 4 Чернах стекла)","Признак_ВИ_Шкафа","Основной вариант")</f>
        <v>63300</v>
      </c>
      <c r="F34" s="9">
        <f>GETPIVOTDATA("Значение",Лист1!$B$2,"Серия","Эста","Тип_шкафа","2-х дверный купе","Ширина",2000,"Высота",2400,"Наименование шкафа на сайте","Эста 2-х дверный Медиум (4 Белых стекла / 4 Чернах стекла)","Признак_ВИ_Шкафа","Основной вариант")</f>
        <v>72140</v>
      </c>
      <c r="G34" s="26">
        <f>GETPIVOTDATA("Значение",Лист1!$B$2,"Серия","Эста","Тип_шкафа","2-х дверный купе","Ширина",2000,"Высота",2200,"Наименование шкафа на сайте","Эста 2-х дверный Медиум (4 Белых стекла / 4 Чернах стекла)","Признак_ВИ_Шкафа","Новый вариант")</f>
        <v>67760</v>
      </c>
      <c r="H34" s="25">
        <f>GETPIVOTDATA("Значение",Лист1!$B$2,"Серия","Эста","Тип_шкафа","2-х дверный купе","Ширина",2000,"Высота",2400,"Наименование шкафа на сайте","Эста 2-х дверный Медиум (4 Белых стекла / 4 Чернах стекла)","Признак_ВИ_Шкафа","Новый вариант")</f>
        <v>77460</v>
      </c>
    </row>
    <row r="35" spans="1:8" ht="16.5" customHeight="1" x14ac:dyDescent="0.3">
      <c r="A35" s="501" t="s">
        <v>1</v>
      </c>
      <c r="B35" s="503"/>
      <c r="C35" s="504" t="s">
        <v>12</v>
      </c>
      <c r="D35" s="14">
        <v>2400</v>
      </c>
      <c r="E35" s="24">
        <f>GETPIVOTDATA("Значение",Лист1!$B$2,"Серия","Эста","Тип_шкафа","3-х дверный купе","Ширина",2400,"Высота",2200,"Наименование шкафа на сайте","Эста 3-х дверный Цельный (12 ЛДСП)","Признак_ВИ_Шкафа","Основной вариант")</f>
        <v>58640</v>
      </c>
      <c r="F35" s="13">
        <f>GETPIVOTDATA("Значение",Лист1!$B$2,"Серия","Эста","Тип_шкафа","3-х дверный купе","Ширина",2400,"Высота",2400,"Наименование шкафа на сайте","Эста 3-х дверный Цельный (12 ЛДСП)","Признак_ВИ_Шкафа","Основной вариант")</f>
        <v>67510</v>
      </c>
      <c r="G35" s="23">
        <f>GETPIVOTDATA("Значение",Лист1!$B$2,"Серия","Эста","Тип_шкафа","3-х дверный купе","Ширина",2400,"Высота",2200,"Наименование шкафа на сайте","Эста 3-х дверный Цельный (12 ЛДСП)","Признак_ВИ_Шкафа","Новый вариант")</f>
        <v>65670</v>
      </c>
      <c r="H35" s="22">
        <f>GETPIVOTDATA("Значение",Лист1!$B$2,"Серия","Эста","Тип_шкафа","3-х дверный купе","Ширина",2400,"Высота",2400,"Наименование шкафа на сайте","Эста 3-х дверный Цельный (12 ЛДСП)","Признак_ВИ_Шкафа","Новый вариант")</f>
        <v>75610</v>
      </c>
    </row>
    <row r="36" spans="1:8" ht="16.5" customHeight="1" x14ac:dyDescent="0.3">
      <c r="A36" s="501"/>
      <c r="B36" s="502"/>
      <c r="C36" s="492"/>
      <c r="D36" s="12">
        <v>2700</v>
      </c>
      <c r="E36" s="21">
        <f>GETPIVOTDATA("Значение",Лист1!$B$2,"Серия","Эста","Тип_шкафа","3-х дверный купе","Ширина",2700,"Высота",2200,"Наименование шкафа на сайте","Эста 3-х дверный Цельный (12 ЛДСП)","Признак_ВИ_Шкафа","Основной вариант")</f>
        <v>62200</v>
      </c>
      <c r="F36" s="11">
        <f>GETPIVOTDATA("Значение",Лист1!$B$2,"Серия","Эста","Тип_шкафа","3-х дверный купе","Ширина",2700,"Высота",2400,"Наименование шкафа на сайте","Эста 3-х дверный Цельный (12 ЛДСП)","Признак_ВИ_Шкафа","Основной вариант")</f>
        <v>71070</v>
      </c>
      <c r="G36" s="20">
        <f>GETPIVOTDATA("Значение",Лист1!$B$2,"Серия","Эста","Тип_шкафа","3-х дверный купе","Ширина",2700,"Высота",2200,"Наименование шкафа на сайте","Эста 3-х дверный Цельный (12 ЛДСП)","Признак_ВИ_Шкафа","Новый вариант")</f>
        <v>69650</v>
      </c>
      <c r="H36" s="19">
        <f>GETPIVOTDATA("Значение",Лист1!$B$2,"Серия","Эста","Тип_шкафа","3-х дверный купе","Ширина",2700,"Высота",2400,"Наименование шкафа на сайте","Эста 3-х дверный Цельный (12 ЛДСП)","Признак_ВИ_Шкафа","Новый вариант")</f>
        <v>79580</v>
      </c>
    </row>
    <row r="37" spans="1:8" ht="16.5" customHeight="1" x14ac:dyDescent="0.3">
      <c r="A37" s="501"/>
      <c r="B37" s="502"/>
      <c r="C37" s="492"/>
      <c r="D37" s="12">
        <v>3000</v>
      </c>
      <c r="E37" s="18">
        <f>GETPIVOTDATA("Значение",Лист1!$B$2,"Серия","Эста","Тип_шкафа","3-х дверный купе","Ширина",3000,"Высота",2200,"Наименование шкафа на сайте","Эста 3-х дверный Цельный (12 ЛДСП)","Признак_ВИ_Шкафа","Основной вариант")</f>
        <v>65740</v>
      </c>
      <c r="F37" s="17">
        <f>GETPIVOTDATA("Значение",Лист1!$B$2,"Серия","Эста","Тип_шкафа","3-х дверный купе","Ширина",3000,"Высота",2400,"Наименование шкафа на сайте","Эста 3-х дверный Цельный (12 ЛДСП)","Признак_ВИ_Шкафа","Основной вариант")</f>
        <v>76380</v>
      </c>
      <c r="G37" s="16">
        <f>GETPIVOTDATA("Значение",Лист1!$B$2,"Серия","Эста","Тип_шкафа","3-х дверный купе","Ширина",3000,"Высота",2200,"Наименование шкафа на сайте","Эста 3-х дверный Цельный (12 ЛДСП)","Признак_ВИ_Шкафа","Новый вариант")</f>
        <v>73620</v>
      </c>
      <c r="H37" s="15">
        <f>GETPIVOTDATA("Значение",Лист1!$B$2,"Серия","Эста","Тип_шкафа","3-х дверный купе","Ширина",3000,"Высота",2400,"Наименование шкафа на сайте","Эста 3-х дверный Цельный (12 ЛДСП)","Признак_ВИ_Шкафа","Новый вариант")</f>
        <v>85540</v>
      </c>
    </row>
    <row r="38" spans="1:8" ht="16.5" customHeight="1" x14ac:dyDescent="0.3">
      <c r="A38" s="501"/>
      <c r="B38" s="502"/>
      <c r="C38" s="492" t="s">
        <v>11</v>
      </c>
      <c r="D38" s="12">
        <v>2400</v>
      </c>
      <c r="E38" s="2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Зеркала / 8 ЛДСП)","Признак_ВИ_Шкафа","Основной вариант")</f>
        <v>63960</v>
      </c>
      <c r="F38" s="11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Зеркала / 8 ЛДСП)","Признак_ВИ_Шкафа","Основной вариант")</f>
        <v>73430</v>
      </c>
      <c r="G38" s="20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Зеркала / 8 ЛДСП)","Признак_ВИ_Шкафа","Новый вариант")</f>
        <v>70350</v>
      </c>
      <c r="H38" s="19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Зеркала / 8 ЛДСП)","Признак_ВИ_Шкафа","Новый вариант")</f>
        <v>80890</v>
      </c>
    </row>
    <row r="39" spans="1:8" ht="16.5" customHeight="1" x14ac:dyDescent="0.3">
      <c r="A39" s="501"/>
      <c r="B39" s="502"/>
      <c r="C39" s="492"/>
      <c r="D39" s="12">
        <v>2700</v>
      </c>
      <c r="E39" s="2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Зеркала / 8 ЛДСП)","Признак_ВИ_Шкафа","Основной вариант")</f>
        <v>67520</v>
      </c>
      <c r="F39" s="11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Зеркала / 8 ЛДСП)","Признак_ВИ_Шкафа","Основной вариант")</f>
        <v>76990</v>
      </c>
      <c r="G39" s="20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Зеркала / 8 ЛДСП)","Признак_ВИ_Шкафа","Новый вариант")</f>
        <v>74330</v>
      </c>
      <c r="H39" s="19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Зеркала / 8 ЛДСП)","Признак_ВИ_Шкафа","Новый вариант")</f>
        <v>84860</v>
      </c>
    </row>
    <row r="40" spans="1:8" ht="16.5" customHeight="1" x14ac:dyDescent="0.3">
      <c r="A40" s="501"/>
      <c r="B40" s="502"/>
      <c r="C40" s="492"/>
      <c r="D40" s="12">
        <v>3000</v>
      </c>
      <c r="E40" s="2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Зеркала / 8 ЛДСП)","Признак_ВИ_Шкафа","Основной вариант")</f>
        <v>71060</v>
      </c>
      <c r="F40" s="11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Зеркала / 8 ЛДСП)","Признак_ВИ_Шкафа","Основной вариант")</f>
        <v>82300</v>
      </c>
      <c r="G40" s="20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Зеркала / 8 ЛДСП)","Признак_ВИ_Шкафа","Новый вариант")</f>
        <v>78300</v>
      </c>
      <c r="H40" s="19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Зеркала / 8 ЛДСП)","Признак_ВИ_Шкафа","Новый вариант")</f>
        <v>90820</v>
      </c>
    </row>
    <row r="41" spans="1:8" ht="16.5" customHeight="1" x14ac:dyDescent="0.3">
      <c r="A41" s="501"/>
      <c r="B41" s="489"/>
      <c r="C41" s="492" t="s">
        <v>995</v>
      </c>
      <c r="D41" s="12">
        <v>2400</v>
      </c>
      <c r="E41" s="21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Медиум (4 посредине) (4 Зеркала бронза / 8 ЛДСП)","Признак_ВИ_Шкафа","Основной вариант")</f>
        <v>74900</v>
      </c>
      <c r="F41" s="11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Медиум (4 посредине) (4 Зеркала бронза / 8 ЛДСП)","Признак_ВИ_Шкафа","Основной вариант")</f>
        <v>87030</v>
      </c>
      <c r="G41" s="20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Медиум (4 посредине) (4 Зеркала бронза / 8 ЛДСП)","Признак_ВИ_Шкафа","Новый вариант")</f>
        <v>81290</v>
      </c>
      <c r="H41" s="279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Медиум (4 посредине) (4 Зеркала бронза / 8 ЛДСП)","Признак_ВИ_Шкафа","Новый вариант")</f>
        <v>94490</v>
      </c>
    </row>
    <row r="42" spans="1:8" ht="16.5" customHeight="1" x14ac:dyDescent="0.3">
      <c r="A42" s="501"/>
      <c r="B42" s="490"/>
      <c r="C42" s="492"/>
      <c r="D42" s="12">
        <v>2700</v>
      </c>
      <c r="E42" s="21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Медиум (4 посредине) (4 Зеркала бронза / 8 ЛДСП)","Признак_ВИ_Шкафа","Основной вариант")</f>
        <v>78460</v>
      </c>
      <c r="F42" s="11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Медиум (4 посредине) (4 Зеркала бронза / 8 ЛДСП)","Признак_ВИ_Шкафа","Основной вариант")</f>
        <v>90590</v>
      </c>
      <c r="G42" s="20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Медиум (4 посредине) (4 Зеркала бронза / 8 ЛДСП)","Признак_ВИ_Шкафа","Новый вариант")</f>
        <v>85270</v>
      </c>
      <c r="H42" s="279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Медиум (4 посредине) (4 Зеркала бронза / 8 ЛДСП)","Признак_ВИ_Шкафа","Новый вариант")</f>
        <v>98460</v>
      </c>
    </row>
    <row r="43" spans="1:8" ht="16.5" customHeight="1" x14ac:dyDescent="0.3">
      <c r="A43" s="501"/>
      <c r="B43" s="491"/>
      <c r="C43" s="492"/>
      <c r="D43" s="12">
        <v>3000</v>
      </c>
      <c r="E43" s="21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Медиум (4 посредине) (4 Зеркала бронза / 8 ЛДСП)","Признак_ВИ_Шкафа","Основной вариант")</f>
        <v>82000</v>
      </c>
      <c r="F43" s="11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Медиум (4 посредине) (4 Зеркала бронза / 8 ЛДСП)","Признак_ВИ_Шкафа","Основной вариант")</f>
        <v>95900</v>
      </c>
      <c r="G43" s="20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Медиум (4 посредине) (4 Зеркала бронза / 8 ЛДСП)","Признак_ВИ_Шкафа","Новый вариант")</f>
        <v>89240</v>
      </c>
      <c r="H43" s="279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Медиум (4 посредине) (4 Зеркала бронза / 8 ЛДСП)","Признак_ВИ_Шкафа","Новый вариант")</f>
        <v>104420</v>
      </c>
    </row>
    <row r="44" spans="1:8" ht="16.5" customHeight="1" x14ac:dyDescent="0.3">
      <c r="A44" s="501"/>
      <c r="B44" s="502"/>
      <c r="C44" s="492" t="s">
        <v>10</v>
      </c>
      <c r="D44" s="12">
        <v>2400</v>
      </c>
      <c r="E44" s="2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ЛДСП / 8 Зеркал)","Признак_ВИ_Шкафа","Основной вариант")</f>
        <v>69280</v>
      </c>
      <c r="F44" s="11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ЛДСП / 8 Зеркал)","Признак_ВИ_Шкафа","Основной вариант")</f>
        <v>79350</v>
      </c>
      <c r="G44" s="20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ЛДСП / 8 Зеркал)","Признак_ВИ_Шкафа","Новый вариант")</f>
        <v>75030</v>
      </c>
      <c r="H44" s="19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ЛДСП / 8 Зеркал)","Признак_ВИ_Шкафа","Новый вариант")</f>
        <v>86170</v>
      </c>
    </row>
    <row r="45" spans="1:8" ht="16.5" customHeight="1" x14ac:dyDescent="0.3">
      <c r="A45" s="501"/>
      <c r="B45" s="502"/>
      <c r="C45" s="492"/>
      <c r="D45" s="12">
        <v>2700</v>
      </c>
      <c r="E45" s="2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ЛДСП / 8 Зеркал)","Признак_ВИ_Шкафа","Основной вариант")</f>
        <v>72840</v>
      </c>
      <c r="F45" s="11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ЛДСП / 8 Зеркал)","Признак_ВИ_Шкафа","Основной вариант")</f>
        <v>82910</v>
      </c>
      <c r="G45" s="20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ЛДСП / 8 Зеркал)","Признак_ВИ_Шкафа","Новый вариант")</f>
        <v>79010</v>
      </c>
      <c r="H45" s="19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ЛДСП / 8 Зеркал)","Признак_ВИ_Шкафа","Новый вариант")</f>
        <v>90140</v>
      </c>
    </row>
    <row r="46" spans="1:8" ht="16.5" customHeight="1" x14ac:dyDescent="0.3">
      <c r="A46" s="501"/>
      <c r="B46" s="502"/>
      <c r="C46" s="492"/>
      <c r="D46" s="12">
        <v>3000</v>
      </c>
      <c r="E46" s="2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ЛДСП / 8 Зеркал)","Признак_ВИ_Шкафа","Основной вариант")</f>
        <v>76380</v>
      </c>
      <c r="F46" s="11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ЛДСП / 8 Зеркал)","Признак_ВИ_Шкафа","Основной вариант")</f>
        <v>88220</v>
      </c>
      <c r="G46" s="20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ЛДСП / 8 Зеркал)","Признак_ВИ_Шкафа","Новый вариант")</f>
        <v>82980</v>
      </c>
      <c r="H46" s="19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ЛДСП / 8 Зеркал)","Признак_ВИ_Шкафа","Новый вариант")</f>
        <v>96100</v>
      </c>
    </row>
    <row r="47" spans="1:8" ht="16.5" customHeight="1" x14ac:dyDescent="0.3">
      <c r="A47" s="501"/>
      <c r="B47" s="489"/>
      <c r="C47" s="492" t="s">
        <v>996</v>
      </c>
      <c r="D47" s="12">
        <v>2400</v>
      </c>
      <c r="E47" s="21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Медиум (4 посредине) (4 ЛДСП / 8 Зеркал бронза)","Признак_ВИ_Шкафа","Основной вариант")</f>
        <v>91160</v>
      </c>
      <c r="F47" s="11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Медиум (4 посредине) (4 ЛДСП / 8 Зеркал бронза)","Признак_ВИ_Шкафа","Основной вариант")</f>
        <v>106550</v>
      </c>
      <c r="G47" s="20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Медиум (4 посредине) (4 ЛДСП / 8 Зеркал бронза)","Признак_ВИ_Шкафа","Новый вариант")</f>
        <v>96910</v>
      </c>
      <c r="H47" s="279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Медиум (4 посредине) (4 ЛДСП / 8 Зеркал бронза)","Признак_ВИ_Шкафа","Новый вариант")</f>
        <v>113370</v>
      </c>
    </row>
    <row r="48" spans="1:8" ht="16.5" customHeight="1" x14ac:dyDescent="0.3">
      <c r="A48" s="501"/>
      <c r="B48" s="490"/>
      <c r="C48" s="492"/>
      <c r="D48" s="12">
        <v>2700</v>
      </c>
      <c r="E48" s="21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Медиум (4 посредине) (4 ЛДСП / 8 Зеркал бронза)","Признак_ВИ_Шкафа","Основной вариант")</f>
        <v>94720</v>
      </c>
      <c r="F48" s="11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Медиум (4 посредине) (4 ЛДСП / 8 Зеркал бронза)","Признак_ВИ_Шкафа","Основной вариант")</f>
        <v>110110</v>
      </c>
      <c r="G48" s="20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Медиум (4 посредине) (4 ЛДСП / 8 Зеркал бронза)","Признак_ВИ_Шкафа","Новый вариант")</f>
        <v>100890</v>
      </c>
      <c r="H48" s="279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Медиум (4 посредине) (4 ЛДСП / 8 Зеркал бронза)","Признак_ВИ_Шкафа","Новый вариант")</f>
        <v>117340</v>
      </c>
    </row>
    <row r="49" spans="1:8" ht="16.5" customHeight="1" x14ac:dyDescent="0.3">
      <c r="A49" s="501"/>
      <c r="B49" s="491"/>
      <c r="C49" s="492"/>
      <c r="D49" s="12">
        <v>3000</v>
      </c>
      <c r="E49" s="21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Медиум (4 посредине) (4 ЛДСП / 8 Зеркал бронза)","Признак_ВИ_Шкафа","Основной вариант")</f>
        <v>98260</v>
      </c>
      <c r="F49" s="11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Медиум (4 посредине) (4 ЛДСП / 8 Зеркал бронза)","Признак_ВИ_Шкафа","Основной вариант")</f>
        <v>115420</v>
      </c>
      <c r="G49" s="20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Медиум (4 посредине) (4 ЛДСП / 8 Зеркал бронза)","Признак_ВИ_Шкафа","Новый вариант")</f>
        <v>104860</v>
      </c>
      <c r="H49" s="279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Медиум (4 посредине) (4 ЛДСП / 8 Зеркал бронза)","Признак_ВИ_Шкафа","Новый вариант")</f>
        <v>123300</v>
      </c>
    </row>
    <row r="50" spans="1:8" ht="16.5" customHeight="1" x14ac:dyDescent="0.3">
      <c r="A50" s="501"/>
      <c r="B50" s="502"/>
      <c r="C50" s="492" t="s">
        <v>9</v>
      </c>
      <c r="D50" s="12">
        <v>2400</v>
      </c>
      <c r="E50" s="21">
        <f>GETPIVOTDATA("Значение",Лист1!$B$2,"Серия","Эста","Тип_шкафа","3-х дверный купе","Ширина",2400,"Высота",2200,"Наименование шкафа на сайте","Эста 3-х дверный Комби (6 ЛДСП / 6 Зеркал)","Признак_ВИ_Шкафа","Основной вариант")</f>
        <v>66620</v>
      </c>
      <c r="F50" s="11">
        <f>GETPIVOTDATA("Значение",Лист1!$B$2,"Серия","Эста","Тип_шкафа","3-х дверный купе","Ширина",2400,"Высота",2400,"Наименование шкафа на сайте","Эста 3-х дверный Комби (6 ЛДСП / 6 Зеркал)","Признак_ВИ_Шкафа","Основной вариант")</f>
        <v>76390</v>
      </c>
      <c r="G50" s="20">
        <f>GETPIVOTDATA("Значение",Лист1!$B$2,"Серия","Эста","Тип_шкафа","3-х дверный купе","Ширина",2400,"Высота",2200,"Наименование шкафа на сайте","Эста 3-х дверный Комби (6 ЛДСП / 6 Зеркал)","Признак_ВИ_Шкафа","Новый вариант")</f>
        <v>72690</v>
      </c>
      <c r="H50" s="19">
        <f>GETPIVOTDATA("Значение",Лист1!$B$2,"Серия","Эста","Тип_шкафа","3-х дверный купе","Ширина",2400,"Высота",2400,"Наименование шкафа на сайте","Эста 3-х дверный Комби (6 ЛДСП / 6 Зеркал)","Признак_ВИ_Шкафа","Новый вариант")</f>
        <v>83530</v>
      </c>
    </row>
    <row r="51" spans="1:8" ht="16.5" customHeight="1" x14ac:dyDescent="0.3">
      <c r="A51" s="501"/>
      <c r="B51" s="502"/>
      <c r="C51" s="492"/>
      <c r="D51" s="12">
        <v>2700</v>
      </c>
      <c r="E51" s="21">
        <f>GETPIVOTDATA("Значение",Лист1!$B$2,"Серия","Эста","Тип_шкафа","3-х дверный купе","Ширина",2700,"Высота",2200,"Наименование шкафа на сайте","Эста 3-х дверный Комби (6 ЛДСП / 6 Зеркал)","Признак_ВИ_Шкафа","Основной вариант")</f>
        <v>70180</v>
      </c>
      <c r="F51" s="11">
        <f>GETPIVOTDATA("Значение",Лист1!$B$2,"Серия","Эста","Тип_шкафа","3-х дверный купе","Ширина",2700,"Высота",2400,"Наименование шкафа на сайте","Эста 3-х дверный Комби (6 ЛДСП / 6 Зеркал)","Признак_ВИ_Шкафа","Основной вариант")</f>
        <v>79950</v>
      </c>
      <c r="G51" s="20">
        <f>GETPIVOTDATA("Значение",Лист1!$B$2,"Серия","Эста","Тип_шкафа","3-х дверный купе","Ширина",2700,"Высота",2200,"Наименование шкафа на сайте","Эста 3-х дверный Комби (6 ЛДСП / 6 Зеркал)","Признак_ВИ_Шкафа","Новый вариант")</f>
        <v>76670</v>
      </c>
      <c r="H51" s="19">
        <f>GETPIVOTDATA("Значение",Лист1!$B$2,"Серия","Эста","Тип_шкафа","3-х дверный купе","Ширина",2700,"Высота",2400,"Наименование шкафа на сайте","Эста 3-х дверный Комби (6 ЛДСП / 6 Зеркал)","Признак_ВИ_Шкафа","Новый вариант")</f>
        <v>87500</v>
      </c>
    </row>
    <row r="52" spans="1:8" ht="16.5" customHeight="1" x14ac:dyDescent="0.3">
      <c r="A52" s="501"/>
      <c r="B52" s="502"/>
      <c r="C52" s="492"/>
      <c r="D52" s="12">
        <v>3000</v>
      </c>
      <c r="E52" s="21">
        <f>GETPIVOTDATA("Значение",Лист1!$B$2,"Серия","Эста","Тип_шкафа","3-х дверный купе","Ширина",3000,"Высота",2200,"Наименование шкафа на сайте","Эста 3-х дверный Комби (6 ЛДСП / 6 Зеркал)","Признак_ВИ_Шкафа","Основной вариант")</f>
        <v>73720</v>
      </c>
      <c r="F52" s="11">
        <f>GETPIVOTDATA("Значение",Лист1!$B$2,"Серия","Эста","Тип_шкафа","3-х дверный купе","Ширина",3000,"Высота",2400,"Наименование шкафа на сайте","Эста 3-х дверный Комби (6 ЛДСП / 6 Зеркал)","Признак_ВИ_Шкафа","Основной вариант")</f>
        <v>85260</v>
      </c>
      <c r="G52" s="20">
        <f>GETPIVOTDATA("Значение",Лист1!$B$2,"Серия","Эста","Тип_шкафа","3-х дверный купе","Ширина",3000,"Высота",2200,"Наименование шкафа на сайте","Эста 3-х дверный Комби (6 ЛДСП / 6 Зеркал)","Признак_ВИ_Шкафа","Новый вариант")</f>
        <v>80640</v>
      </c>
      <c r="H52" s="19">
        <f>GETPIVOTDATA("Значение",Лист1!$B$2,"Серия","Эста","Тип_шкафа","3-х дверный купе","Ширина",3000,"Высота",2400,"Наименование шкафа на сайте","Эста 3-х дверный Комби (6 ЛДСП / 6 Зеркал)","Признак_ВИ_Шкафа","Новый вариант")</f>
        <v>93460</v>
      </c>
    </row>
    <row r="53" spans="1:8" ht="16.5" customHeight="1" x14ac:dyDescent="0.3">
      <c r="A53" s="501"/>
      <c r="B53" s="489"/>
      <c r="C53" s="492" t="s">
        <v>997</v>
      </c>
      <c r="D53" s="12">
        <v>2400</v>
      </c>
      <c r="E53" s="21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Комби (6 ЛДСП / 6 Зеркал бронза)","Признак_ВИ_Шкафа","Основной вариант")</f>
        <v>83030</v>
      </c>
      <c r="F53" s="11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Комби (6 ЛДСП / 6 Зеркал бронза)","Признак_ВИ_Шкафа","Основной вариант")</f>
        <v>96790</v>
      </c>
      <c r="G53" s="20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Комби (6 ЛДСП / 6 Зеркал бронза)","Признак_ВИ_Шкафа","Новый вариант")</f>
        <v>89100</v>
      </c>
      <c r="H53" s="279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Комби (6 ЛДСП / 6 Зеркал бронза)","Признак_ВИ_Шкафа","Новый вариант")</f>
        <v>103930</v>
      </c>
    </row>
    <row r="54" spans="1:8" ht="16.5" customHeight="1" x14ac:dyDescent="0.3">
      <c r="A54" s="501"/>
      <c r="B54" s="490"/>
      <c r="C54" s="492"/>
      <c r="D54" s="12">
        <v>2700</v>
      </c>
      <c r="E54" s="21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Комби (6 ЛДСП / 6 Зеркал бронза)","Признак_ВИ_Шкафа","Основной вариант")</f>
        <v>86590</v>
      </c>
      <c r="F54" s="11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Комби (6 ЛДСП / 6 Зеркал бронза)","Признак_ВИ_Шкафа","Основной вариант")</f>
        <v>100350</v>
      </c>
      <c r="G54" s="20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Комби (6 ЛДСП / 6 Зеркал бронза)","Признак_ВИ_Шкафа","Новый вариант")</f>
        <v>93080</v>
      </c>
      <c r="H54" s="279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Комби (6 ЛДСП / 6 Зеркал бронза)","Признак_ВИ_Шкафа","Новый вариант")</f>
        <v>107900</v>
      </c>
    </row>
    <row r="55" spans="1:8" ht="16.5" customHeight="1" x14ac:dyDescent="0.3">
      <c r="A55" s="501"/>
      <c r="B55" s="491"/>
      <c r="C55" s="492"/>
      <c r="D55" s="12">
        <v>3000</v>
      </c>
      <c r="E55" s="21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Комби (6 ЛДСП / 6 Зеркал бронза)","Признак_ВИ_Шкафа","Основной вариант")</f>
        <v>90130</v>
      </c>
      <c r="F55" s="11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Комби (6 ЛДСП / 6 Зеркал бронза)","Признак_ВИ_Шкафа","Основной вариант")</f>
        <v>105660</v>
      </c>
      <c r="G55" s="20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Комби (6 ЛДСП / 6 Зеркал бронза)","Признак_ВИ_Шкафа","Новый вариант")</f>
        <v>97050</v>
      </c>
      <c r="H55" s="279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Комби (6 ЛДСП / 6 Зеркал бронза)","Признак_ВИ_Шкафа","Новый вариант")</f>
        <v>113860</v>
      </c>
    </row>
    <row r="56" spans="1:8" ht="16.5" customHeight="1" x14ac:dyDescent="0.3">
      <c r="A56" s="501"/>
      <c r="B56" s="502"/>
      <c r="C56" s="492" t="s">
        <v>909</v>
      </c>
      <c r="D56" s="12">
        <v>2400</v>
      </c>
      <c r="E56" s="2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/ 8 ЛДСП)","Признак_ВИ_Шкафа","Основной вариант")</f>
        <v>66300</v>
      </c>
      <c r="F56" s="11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/ 8 ЛДСП)","Признак_ВИ_Шкафа","Основной вариант")</f>
        <v>76050</v>
      </c>
      <c r="G56" s="20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/ 8 ЛДСП)","Признак_ВИ_Шкафа","Новый вариант")</f>
        <v>72690</v>
      </c>
      <c r="H56" s="19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/ 8 ЛДСП)","Признак_ВИ_Шкафа","Новый вариант")</f>
        <v>83510</v>
      </c>
    </row>
    <row r="57" spans="1:8" ht="16.5" customHeight="1" x14ac:dyDescent="0.3">
      <c r="A57" s="501"/>
      <c r="B57" s="502"/>
      <c r="C57" s="492"/>
      <c r="D57" s="12">
        <v>2700</v>
      </c>
      <c r="E57" s="2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/ 8 ЛДСП)","Признак_ВИ_Шкафа","Основной вариант")</f>
        <v>69860</v>
      </c>
      <c r="F57" s="11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/ 8 ЛДСП)","Признак_ВИ_Шкафа","Основной вариант")</f>
        <v>79610</v>
      </c>
      <c r="G57" s="20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/ 8 ЛДСП)","Признак_ВИ_Шкафа","Новый вариант")</f>
        <v>76670</v>
      </c>
      <c r="H57" s="19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/ 8 ЛДСП)","Признак_ВИ_Шкафа","Новый вариант")</f>
        <v>87480</v>
      </c>
    </row>
    <row r="58" spans="1:8" ht="16.5" customHeight="1" x14ac:dyDescent="0.3">
      <c r="A58" s="501"/>
      <c r="B58" s="502"/>
      <c r="C58" s="492"/>
      <c r="D58" s="12">
        <v>3000</v>
      </c>
      <c r="E58" s="2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/ 8 ЛДСП)","Признак_ВИ_Шкафа","Основной вариант")</f>
        <v>73400</v>
      </c>
      <c r="F58" s="11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/ 8 ЛДСП)","Признак_ВИ_Шкафа","Основной вариант")</f>
        <v>84920</v>
      </c>
      <c r="G58" s="20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/ 8 ЛДСП)","Признак_ВИ_Шкафа","Новый вариант")</f>
        <v>80640</v>
      </c>
      <c r="H58" s="19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/ 8 ЛДСП)","Признак_ВИ_Шкафа","Новый вариант")</f>
        <v>93440</v>
      </c>
    </row>
    <row r="59" spans="1:8" ht="16.5" customHeight="1" x14ac:dyDescent="0.3">
      <c r="A59" s="501"/>
      <c r="B59" s="502"/>
      <c r="C59" s="492" t="s">
        <v>910</v>
      </c>
      <c r="D59" s="12">
        <v>2400</v>
      </c>
      <c r="E59" s="2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ЛДСП / 8 Белых стекол)","Признак_ВИ_Шкафа","Основной вариант")</f>
        <v>73960</v>
      </c>
      <c r="F59" s="11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ЛДСП / 8 Белых стекол)","Признак_ВИ_Шкафа","Основной вариант")</f>
        <v>84590</v>
      </c>
      <c r="G59" s="20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ЛДСП / 8 Белых стекол)","Признак_ВИ_Шкафа","Новый вариант")</f>
        <v>79710</v>
      </c>
      <c r="H59" s="19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ЛДСП / 8 Белых стекол)","Признак_ВИ_Шкафа","Новый вариант")</f>
        <v>91410</v>
      </c>
    </row>
    <row r="60" spans="1:8" ht="16.5" customHeight="1" x14ac:dyDescent="0.3">
      <c r="A60" s="501"/>
      <c r="B60" s="502"/>
      <c r="C60" s="492"/>
      <c r="D60" s="12">
        <v>2700</v>
      </c>
      <c r="E60" s="2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ЛДСП / 8 Белых стекол)","Признак_ВИ_Шкафа","Основной вариант")</f>
        <v>77520</v>
      </c>
      <c r="F60" s="11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ЛДСП / 8 Белых стекол)","Признак_ВИ_Шкафа","Основной вариант")</f>
        <v>88150</v>
      </c>
      <c r="G60" s="20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ЛДСП / 8 Белых стекол)","Признак_ВИ_Шкафа","Новый вариант")</f>
        <v>83690</v>
      </c>
      <c r="H60" s="19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ЛДСП / 8 Белых стекол)","Признак_ВИ_Шкафа","Новый вариант")</f>
        <v>95380</v>
      </c>
    </row>
    <row r="61" spans="1:8" ht="16.5" customHeight="1" x14ac:dyDescent="0.3">
      <c r="A61" s="501"/>
      <c r="B61" s="502"/>
      <c r="C61" s="492"/>
      <c r="D61" s="12">
        <v>3000</v>
      </c>
      <c r="E61" s="2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ЛДСП / 8 Белых стекол)","Признак_ВИ_Шкафа","Основной вариант")</f>
        <v>81060</v>
      </c>
      <c r="F61" s="11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ЛДСП / 8 Белых стекол)","Признак_ВИ_Шкафа","Основной вариант")</f>
        <v>93460</v>
      </c>
      <c r="G61" s="20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ЛДСП / 8 Белых стекол)","Признак_ВИ_Шкафа","Новый вариант")</f>
        <v>87660</v>
      </c>
      <c r="H61" s="19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ЛДСП / 8 Белых стекол)","Признак_ВИ_Шкафа","Новый вариант")</f>
        <v>101340</v>
      </c>
    </row>
    <row r="62" spans="1:8" ht="16.5" customHeight="1" x14ac:dyDescent="0.3">
      <c r="A62" s="501"/>
      <c r="B62" s="502"/>
      <c r="C62" s="492" t="s">
        <v>911</v>
      </c>
      <c r="D62" s="12">
        <v>2400</v>
      </c>
      <c r="E62" s="21">
        <f>GETPIVOTDATA("Значение",Лист1!$B$2,"Серия","Эста","Тип_шкафа","3-х дверный купе","Ширина",2400,"Высота",2200,"Наименование шкафа на сайте","Эста 3-х дверный Комби (6 ЛДСП / 6 Белых стекол)","Признак_ВИ_Шкафа","Основной вариант")</f>
        <v>70130</v>
      </c>
      <c r="F62" s="11">
        <f>GETPIVOTDATA("Значение",Лист1!$B$2,"Серия","Эста","Тип_шкафа","3-х дверный купе","Ширина",2400,"Высота",2400,"Наименование шкафа на сайте","Эста 3-х дверный Комби (6 ЛДСП / 6 Белых стекол)","Признак_ВИ_Шкафа","Основной вариант")</f>
        <v>80320</v>
      </c>
      <c r="G62" s="20">
        <f>GETPIVOTDATA("Значение",Лист1!$B$2,"Серия","Эста","Тип_шкафа","3-х дверный купе","Ширина",2400,"Высота",2200,"Наименование шкафа на сайте","Эста 3-х дверный Комби (6 ЛДСП / 6 Белых стекол)","Признак_ВИ_Шкафа","Новый вариант")</f>
        <v>76200</v>
      </c>
      <c r="H62" s="19">
        <f>GETPIVOTDATA("Значение",Лист1!$B$2,"Серия","Эста","Тип_шкафа","3-х дверный купе","Ширина",2400,"Высота",2400,"Наименование шкафа на сайте","Эста 3-х дверный Комби (6 ЛДСП / 6 Белых стекол)","Признак_ВИ_Шкафа","Новый вариант")</f>
        <v>87460</v>
      </c>
    </row>
    <row r="63" spans="1:8" ht="16.5" customHeight="1" x14ac:dyDescent="0.3">
      <c r="A63" s="501"/>
      <c r="B63" s="502"/>
      <c r="C63" s="492"/>
      <c r="D63" s="12">
        <v>2700</v>
      </c>
      <c r="E63" s="21">
        <f>GETPIVOTDATA("Значение",Лист1!$B$2,"Серия","Эста","Тип_шкафа","3-х дверный купе","Ширина",2700,"Высота",2200,"Наименование шкафа на сайте","Эста 3-х дверный Комби (6 ЛДСП / 6 Белых стекол)","Признак_ВИ_Шкафа","Основной вариант")</f>
        <v>73690</v>
      </c>
      <c r="F63" s="11">
        <f>GETPIVOTDATA("Значение",Лист1!$B$2,"Серия","Эста","Тип_шкафа","3-х дверный купе","Ширина",2700,"Высота",2400,"Наименование шкафа на сайте","Эста 3-х дверный Комби (6 ЛДСП / 6 Белых стекол)","Признак_ВИ_Шкафа","Основной вариант")</f>
        <v>83880</v>
      </c>
      <c r="G63" s="20">
        <f>GETPIVOTDATA("Значение",Лист1!$B$2,"Серия","Эста","Тип_шкафа","3-х дверный купе","Ширина",2700,"Высота",2200,"Наименование шкафа на сайте","Эста 3-х дверный Комби (6 ЛДСП / 6 Белых стекол)","Признак_ВИ_Шкафа","Новый вариант")</f>
        <v>80180</v>
      </c>
      <c r="H63" s="19">
        <f>GETPIVOTDATA("Значение",Лист1!$B$2,"Серия","Эста","Тип_шкафа","3-х дверный купе","Ширина",2700,"Высота",2400,"Наименование шкафа на сайте","Эста 3-х дверный Комби (6 ЛДСП / 6 Белых стекол)","Признак_ВИ_Шкафа","Новый вариант")</f>
        <v>91430</v>
      </c>
    </row>
    <row r="64" spans="1:8" ht="16.5" customHeight="1" x14ac:dyDescent="0.3">
      <c r="A64" s="501"/>
      <c r="B64" s="502"/>
      <c r="C64" s="492"/>
      <c r="D64" s="12">
        <v>3000</v>
      </c>
      <c r="E64" s="21">
        <f>GETPIVOTDATA("Значение",Лист1!$B$2,"Серия","Эста","Тип_шкафа","3-х дверный купе","Ширина",3000,"Высота",2200,"Наименование шкафа на сайте","Эста 3-х дверный Комби (6 ЛДСП / 6 Белых стекол)","Признак_ВИ_Шкафа","Основной вариант")</f>
        <v>77230</v>
      </c>
      <c r="F64" s="11">
        <f>GETPIVOTDATA("Значение",Лист1!$B$2,"Серия","Эста","Тип_шкафа","3-х дверный купе","Ширина",3000,"Высота",2400,"Наименование шкафа на сайте","Эста 3-х дверный Комби (6 ЛДСП / 6 Белых стекол)","Признак_ВИ_Шкафа","Основной вариант")</f>
        <v>89190</v>
      </c>
      <c r="G64" s="20">
        <f>GETPIVOTDATA("Значение",Лист1!$B$2,"Серия","Эста","Тип_шкафа","3-х дверный купе","Ширина",3000,"Высота",2200,"Наименование шкафа на сайте","Эста 3-х дверный Комби (6 ЛДСП / 6 Белых стекол)","Признак_ВИ_Шкафа","Новый вариант")</f>
        <v>84150</v>
      </c>
      <c r="H64" s="19">
        <f>GETPIVOTDATA("Значение",Лист1!$B$2,"Серия","Эста","Тип_шкафа","3-х дверный купе","Ширина",3000,"Высота",2400,"Наименование шкафа на сайте","Эста 3-х дверный Комби (6 ЛДСП / 6 Белых стекол)","Признак_ВИ_Шкафа","Новый вариант")</f>
        <v>97390</v>
      </c>
    </row>
    <row r="65" spans="1:8" ht="16.5" customHeight="1" x14ac:dyDescent="0.3">
      <c r="A65" s="501"/>
      <c r="B65" s="502"/>
      <c r="C65" s="492" t="s">
        <v>8</v>
      </c>
      <c r="D65" s="12">
        <v>2400</v>
      </c>
      <c r="E65" s="21">
        <f>GETPIVOTDATA("Значение",Лист1!$B$2,"Серия","Эста","Тип_шкафа","3-х дверный купе","Ширина",2400,"Высота",2200,"Наименование шкафа на сайте","Эста 3-х дверный Цельный (12 Зеркал)","Признак_ВИ_Шкафа","Основной вариант")</f>
        <v>74600</v>
      </c>
      <c r="F65" s="11">
        <f>GETPIVOTDATA("Значение",Лист1!$B$2,"Серия","Эста","Тип_шкафа","3-х дверный купе","Ширина",2400,"Высота",2400,"Наименование шкафа на сайте","Эста 3-х дверный Цельный (12 Зеркал)","Признак_ВИ_Шкафа","Основной вариант")</f>
        <v>85270</v>
      </c>
      <c r="G65" s="20">
        <f>GETPIVOTDATA("Значение",Лист1!$B$2,"Серия","Эста","Тип_шкафа","3-х дверный купе","Ширина",2400,"Высота",2200,"Наименование шкафа на сайте","Эста 3-х дверный Цельный (12 Зеркал)","Признак_ВИ_Шкафа","Новый вариант")</f>
        <v>79710</v>
      </c>
      <c r="H65" s="19">
        <f>GETPIVOTDATA("Значение",Лист1!$B$2,"Серия","Эста","Тип_шкафа","3-х дверный купе","Ширина",2400,"Высота",2400,"Наименование шкафа на сайте","Эста 3-х дверный Цельный (12 Зеркал)","Признак_ВИ_Шкафа","Новый вариант")</f>
        <v>91450</v>
      </c>
    </row>
    <row r="66" spans="1:8" ht="16.5" customHeight="1" x14ac:dyDescent="0.3">
      <c r="A66" s="501"/>
      <c r="B66" s="502"/>
      <c r="C66" s="492"/>
      <c r="D66" s="12">
        <v>2700</v>
      </c>
      <c r="E66" s="21">
        <f>GETPIVOTDATA("Значение",Лист1!$B$2,"Серия","Эста","Тип_шкафа","3-х дверный купе","Ширина",2700,"Высота",2200,"Наименование шкафа на сайте","Эста 3-х дверный Цельный (12 Зеркал)","Признак_ВИ_Шкафа","Основной вариант")</f>
        <v>78160</v>
      </c>
      <c r="F66" s="11">
        <f>GETPIVOTDATA("Значение",Лист1!$B$2,"Серия","Эста","Тип_шкафа","3-х дверный купе","Ширина",2700,"Высота",2400,"Наименование шкафа на сайте","Эста 3-х дверный Цельный (12 Зеркал)","Признак_ВИ_Шкафа","Основной вариант")</f>
        <v>88830</v>
      </c>
      <c r="G66" s="20">
        <f>GETPIVOTDATA("Значение",Лист1!$B$2,"Серия","Эста","Тип_шкафа","3-х дверный купе","Ширина",2700,"Высота",2200,"Наименование шкафа на сайте","Эста 3-х дверный Цельный (12 Зеркал)","Признак_ВИ_Шкафа","Новый вариант")</f>
        <v>83690</v>
      </c>
      <c r="H66" s="19">
        <f>GETPIVOTDATA("Значение",Лист1!$B$2,"Серия","Эста","Тип_шкафа","3-х дверный купе","Ширина",2700,"Высота",2400,"Наименование шкафа на сайте","Эста 3-х дверный Цельный (12 Зеркал)","Признак_ВИ_Шкафа","Новый вариант")</f>
        <v>95420</v>
      </c>
    </row>
    <row r="67" spans="1:8" ht="16.5" customHeight="1" x14ac:dyDescent="0.3">
      <c r="A67" s="501"/>
      <c r="B67" s="502"/>
      <c r="C67" s="492"/>
      <c r="D67" s="12">
        <v>3000</v>
      </c>
      <c r="E67" s="21">
        <f>GETPIVOTDATA("Значение",Лист1!$B$2,"Серия","Эста","Тип_шкафа","3-х дверный купе","Ширина",3000,"Высота",2200,"Наименование шкафа на сайте","Эста 3-х дверный Цельный (12 Зеркал)","Признак_ВИ_Шкафа","Основной вариант")</f>
        <v>81700</v>
      </c>
      <c r="F67" s="11">
        <f>GETPIVOTDATA("Значение",Лист1!$B$2,"Серия","Эста","Тип_шкафа","3-х дверный купе","Ширина",3000,"Высота",2400,"Наименование шкафа на сайте","Эста 3-х дверный Цельный (12 Зеркал)","Признак_ВИ_Шкафа","Основной вариант")</f>
        <v>94140</v>
      </c>
      <c r="G67" s="20">
        <f>GETPIVOTDATA("Значение",Лист1!$B$2,"Серия","Эста","Тип_шкафа","3-х дверный купе","Ширина",3000,"Высота",2200,"Наименование шкафа на сайте","Эста 3-х дверный Цельный (12 Зеркал)","Признак_ВИ_Шкафа","Новый вариант")</f>
        <v>87660</v>
      </c>
      <c r="H67" s="19">
        <f>GETPIVOTDATA("Значение",Лист1!$B$2,"Серия","Эста","Тип_шкафа","3-х дверный купе","Ширина",3000,"Высота",2400,"Наименование шкафа на сайте","Эста 3-х дверный Цельный (12 Зеркал)","Признак_ВИ_Шкафа","Новый вариант")</f>
        <v>101380</v>
      </c>
    </row>
    <row r="68" spans="1:8" ht="16.5" customHeight="1" x14ac:dyDescent="0.3">
      <c r="A68" s="501"/>
      <c r="B68" s="489"/>
      <c r="C68" s="492" t="s">
        <v>998</v>
      </c>
      <c r="D68" s="12">
        <v>2400</v>
      </c>
      <c r="E68" s="21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Цельный (12 Зеркал бронза)","Признак_ВИ_Шкафа","Основной вариант")</f>
        <v>107420</v>
      </c>
      <c r="F68" s="11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Цельный (12 Зеркал бронза)","Признак_ВИ_Шкафа","Основной вариант")</f>
        <v>126070</v>
      </c>
      <c r="G68" s="20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Цельный (12 Зеркал бронза)","Признак_ВИ_Шкафа","Новый вариант")</f>
        <v>112530</v>
      </c>
      <c r="H68" s="279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Цельный (12 Зеркал бронза)","Признак_ВИ_Шкафа","Новый вариант")</f>
        <v>132250</v>
      </c>
    </row>
    <row r="69" spans="1:8" ht="16.5" customHeight="1" x14ac:dyDescent="0.3">
      <c r="A69" s="501"/>
      <c r="B69" s="490"/>
      <c r="C69" s="492"/>
      <c r="D69" s="12">
        <v>2700</v>
      </c>
      <c r="E69" s="21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Цельный (12 Зеркал бронза)","Признак_ВИ_Шкафа","Основной вариант")</f>
        <v>110980</v>
      </c>
      <c r="F69" s="11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Цельный (12 Зеркал бронза)","Признак_ВИ_Шкафа","Основной вариант")</f>
        <v>129630</v>
      </c>
      <c r="G69" s="20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Цельный (12 Зеркал бронза)","Признак_ВИ_Шкафа","Новый вариант")</f>
        <v>116510</v>
      </c>
      <c r="H69" s="279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Цельный (12 Зеркал бронза)","Признак_ВИ_Шкафа","Новый вариант")</f>
        <v>136220</v>
      </c>
    </row>
    <row r="70" spans="1:8" ht="16.5" customHeight="1" x14ac:dyDescent="0.3">
      <c r="A70" s="501"/>
      <c r="B70" s="491"/>
      <c r="C70" s="492"/>
      <c r="D70" s="12">
        <v>3000</v>
      </c>
      <c r="E70" s="21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Цельный (12 Зеркал бронза)","Признак_ВИ_Шкафа","Основной вариант")</f>
        <v>114520</v>
      </c>
      <c r="F70" s="11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Цельный (12 Зеркал бронза)","Признак_ВИ_Шкафа","Основной вариант")</f>
        <v>134940</v>
      </c>
      <c r="G70" s="20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Цельный (12 Зеркал бронза)","Признак_ВИ_Шкафа","Новый вариант")</f>
        <v>120480</v>
      </c>
      <c r="H70" s="279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Цельный (12 Зеркал бронза)","Признак_ВИ_Шкафа","Новый вариант")</f>
        <v>142180</v>
      </c>
    </row>
    <row r="71" spans="1:8" ht="16.5" customHeight="1" x14ac:dyDescent="0.3">
      <c r="A71" s="501"/>
      <c r="B71" s="502"/>
      <c r="C71" s="492" t="s">
        <v>912</v>
      </c>
      <c r="D71" s="12">
        <v>2400</v>
      </c>
      <c r="E71" s="2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Черных стекла / 8 Зеркал)","Признак_ВИ_Шкафа","Основной вариант")</f>
        <v>76940</v>
      </c>
      <c r="F71" s="11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Черных стекла / 8 Зеркал)","Признак_ВИ_Шкафа","Основной вариант")</f>
        <v>87890</v>
      </c>
      <c r="G71" s="20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Черных стекла / 8 Зеркал)","Признак_ВИ_Шкафа","Новый вариант")</f>
        <v>82050</v>
      </c>
      <c r="H71" s="19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Черных стекла / 8 Зеркал)","Признак_ВИ_Шкафа","Новый вариант")</f>
        <v>94070</v>
      </c>
    </row>
    <row r="72" spans="1:8" ht="16.5" customHeight="1" x14ac:dyDescent="0.3">
      <c r="A72" s="501"/>
      <c r="B72" s="502"/>
      <c r="C72" s="492"/>
      <c r="D72" s="12">
        <v>2700</v>
      </c>
      <c r="E72" s="2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Черных стекла / 8 Зеркал)","Признак_ВИ_Шкафа","Основной вариант")</f>
        <v>80500</v>
      </c>
      <c r="F72" s="11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Черных стекла / 8 Зеркал)","Признак_ВИ_Шкафа","Основной вариант")</f>
        <v>91450</v>
      </c>
      <c r="G72" s="20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Черных стекла / 8 Зеркал)","Признак_ВИ_Шкафа","Новый вариант")</f>
        <v>86030</v>
      </c>
      <c r="H72" s="19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Черных стекла / 8 Зеркал)","Признак_ВИ_Шкафа","Новый вариант")</f>
        <v>98040</v>
      </c>
    </row>
    <row r="73" spans="1:8" ht="16.5" customHeight="1" x14ac:dyDescent="0.3">
      <c r="A73" s="501"/>
      <c r="B73" s="502"/>
      <c r="C73" s="492"/>
      <c r="D73" s="12">
        <v>3000</v>
      </c>
      <c r="E73" s="2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Черных стекла / 8 Зеркал)","Признак_ВИ_Шкафа","Основной вариант")</f>
        <v>84040</v>
      </c>
      <c r="F73" s="11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Черных стекла / 8 Зеркал)","Признак_ВИ_Шкафа","Основной вариант")</f>
        <v>96760</v>
      </c>
      <c r="G73" s="20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Черных стекла / 8 Зеркал)","Признак_ВИ_Шкафа","Новый вариант")</f>
        <v>90000</v>
      </c>
      <c r="H73" s="19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Черных стекла / 8 Зеркал)","Признак_ВИ_Шкафа","Новый вариант")</f>
        <v>104000</v>
      </c>
    </row>
    <row r="74" spans="1:8" ht="16.5" customHeight="1" x14ac:dyDescent="0.3">
      <c r="A74" s="501"/>
      <c r="B74" s="489"/>
      <c r="C74" s="492" t="s">
        <v>999</v>
      </c>
      <c r="D74" s="12">
        <v>2400</v>
      </c>
      <c r="E74" s="21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Медиум (4 посредине) (4 Черных стекла / 8 Зеркал бронза)","Признак_ВИ_Шкафа","Основной вариант")</f>
        <v>98820</v>
      </c>
      <c r="F74" s="11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Медиум (4 посредине) (4 Черных стекла / 8 Зеркал бронза)","Признак_ВИ_Шкафа","Основной вариант")</f>
        <v>115090</v>
      </c>
      <c r="G74" s="20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Медиум (4 посредине) (4 Черных стекла / 8 Зеркал бронза)","Признак_ВИ_Шкафа","Новый вариант")</f>
        <v>103930</v>
      </c>
      <c r="H74" s="279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Медиум (4 посредине) (4 Черных стекла / 8 Зеркал бронза)","Признак_ВИ_Шкафа","Новый вариант")</f>
        <v>121270</v>
      </c>
    </row>
    <row r="75" spans="1:8" ht="16.5" customHeight="1" x14ac:dyDescent="0.3">
      <c r="A75" s="501"/>
      <c r="B75" s="490"/>
      <c r="C75" s="492"/>
      <c r="D75" s="12">
        <v>2700</v>
      </c>
      <c r="E75" s="21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Медиум (4 посредине) (4 Черных стекла / 8 Зеркал бронза)","Признак_ВИ_Шкафа","Основной вариант")</f>
        <v>102380</v>
      </c>
      <c r="F75" s="11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Медиум (4 посредине) (4 Черных стекла / 8 Зеркал бронза)","Признак_ВИ_Шкафа","Основной вариант")</f>
        <v>118650</v>
      </c>
      <c r="G75" s="20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Медиум (4 посредине) (4 Черных стекла / 8 Зеркал бронза)","Признак_ВИ_Шкафа","Новый вариант")</f>
        <v>107910</v>
      </c>
      <c r="H75" s="279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Медиум (4 посредине) (4 Черных стекла / 8 Зеркал бронза)","Признак_ВИ_Шкафа","Новый вариант")</f>
        <v>125240</v>
      </c>
    </row>
    <row r="76" spans="1:8" ht="16.5" customHeight="1" x14ac:dyDescent="0.3">
      <c r="A76" s="501"/>
      <c r="B76" s="491"/>
      <c r="C76" s="492"/>
      <c r="D76" s="12">
        <v>3000</v>
      </c>
      <c r="E76" s="21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Медиум (4 посредине) (4 Черных стекла / 8 Зеркал бронза)","Признак_ВИ_Шкафа","Основной вариант")</f>
        <v>105920</v>
      </c>
      <c r="F76" s="11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Медиум (4 посредине) (4 Черных стекла / 8 Зеркал бронза)","Признак_ВИ_Шкафа","Основной вариант")</f>
        <v>123960</v>
      </c>
      <c r="G76" s="20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Медиум (4 посредине) (4 Черных стекла / 8 Зеркал бронза)","Признак_ВИ_Шкафа","Новый вариант")</f>
        <v>111880</v>
      </c>
      <c r="H76" s="279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Медиум (4 посредине) (4 Черных стекла / 8 Зеркал бронза)","Признак_ВИ_Шкафа","Новый вариант")</f>
        <v>131200</v>
      </c>
    </row>
    <row r="77" spans="1:8" ht="16.5" customHeight="1" x14ac:dyDescent="0.3">
      <c r="A77" s="501"/>
      <c r="B77" s="502"/>
      <c r="C77" s="492" t="s">
        <v>913</v>
      </c>
      <c r="D77" s="12">
        <v>2400</v>
      </c>
      <c r="E77" s="2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Зеркала / 8 Черных стекол)","Признак_ВИ_Шкафа","Основной вариант")</f>
        <v>79280</v>
      </c>
      <c r="F77" s="11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Зеркала / 8 Черных стекол)","Признак_ВИ_Шкафа","Основной вариант")</f>
        <v>90510</v>
      </c>
      <c r="G77" s="20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Зеркала / 8 Черных стекол)","Признак_ВИ_Шкафа","Новый вариант")</f>
        <v>84390</v>
      </c>
      <c r="H77" s="19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Зеркала / 8 Черных стекол)","Признак_ВИ_Шкафа","Новый вариант")</f>
        <v>96690</v>
      </c>
    </row>
    <row r="78" spans="1:8" ht="16.5" customHeight="1" x14ac:dyDescent="0.3">
      <c r="A78" s="501"/>
      <c r="B78" s="502"/>
      <c r="C78" s="492"/>
      <c r="D78" s="12">
        <v>2700</v>
      </c>
      <c r="E78" s="2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Зеркала / 8 Черных стекол)","Признак_ВИ_Шкафа","Основной вариант")</f>
        <v>82840</v>
      </c>
      <c r="F78" s="11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Зеркала / 8 Черных стекол)","Признак_ВИ_Шкафа","Основной вариант")</f>
        <v>94070</v>
      </c>
      <c r="G78" s="20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Зеркала / 8 Черных стекол)","Признак_ВИ_Шкафа","Новый вариант")</f>
        <v>88370</v>
      </c>
      <c r="H78" s="19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Зеркала / 8 Черных стекол)","Признак_ВИ_Шкафа","Новый вариант")</f>
        <v>100660</v>
      </c>
    </row>
    <row r="79" spans="1:8" ht="16.5" customHeight="1" x14ac:dyDescent="0.3">
      <c r="A79" s="501"/>
      <c r="B79" s="502"/>
      <c r="C79" s="492"/>
      <c r="D79" s="12">
        <v>3000</v>
      </c>
      <c r="E79" s="2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Зеркала / 8 Черных стекол)","Признак_ВИ_Шкафа","Основной вариант")</f>
        <v>86380</v>
      </c>
      <c r="F79" s="11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Зеркала / 8 Черных стекол)","Признак_ВИ_Шкафа","Основной вариант")</f>
        <v>99380</v>
      </c>
      <c r="G79" s="20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Зеркала / 8 Черных стекол)","Признак_ВИ_Шкафа","Новый вариант")</f>
        <v>92340</v>
      </c>
      <c r="H79" s="19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Зеркала / 8 Черных стекол)","Признак_ВИ_Шкафа","Новый вариант")</f>
        <v>106620</v>
      </c>
    </row>
    <row r="80" spans="1:8" ht="16.5" customHeight="1" x14ac:dyDescent="0.3">
      <c r="A80" s="501"/>
      <c r="B80" s="489"/>
      <c r="C80" s="492" t="s">
        <v>1000</v>
      </c>
      <c r="D80" s="12">
        <v>2400</v>
      </c>
      <c r="E80" s="21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Медиум (4 посредине) (4 Зеркала бронза / 8 Черных стекол)","Признак_ВИ_Шкафа","Основной вариант")</f>
        <v>90220</v>
      </c>
      <c r="F80" s="11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Медиум (4 посредине) (4 Зеркала бронза / 8 Черных стекол)","Признак_ВИ_Шкафа","Основной вариант")</f>
        <v>104110</v>
      </c>
      <c r="G80" s="20">
        <f>GETPIVOTDATA("Значение",Лист1!$B$2,"Серия","Эста","Тип_шкафа","3-х дверный купе","Ширина",2400,"Высота",2200,"Глубина",660,"Наименование шкафа на сайте","Эста 3-х дверный Медиум (4 посредине) (4 Зеркала бронза / 8 Черных стекол)","Признак_ВИ_Шкафа","Новый вариант")</f>
        <v>95330</v>
      </c>
      <c r="H80" s="279">
        <f>GETPIVOTDATA("Значение",Лист1!$B$2,"Серия","Эста","Тип_шкафа","3-х дверный купе","Ширина",2400,"Высота",2400,"Глубина",660,"Наименование шкафа на сайте","Эста 3-х дверный Медиум (4 посредине) (4 Зеркала бронза / 8 Черных стекол)","Признак_ВИ_Шкафа","Новый вариант")</f>
        <v>110290</v>
      </c>
    </row>
    <row r="81" spans="1:8" ht="16.5" customHeight="1" x14ac:dyDescent="0.3">
      <c r="A81" s="501"/>
      <c r="B81" s="490"/>
      <c r="C81" s="492"/>
      <c r="D81" s="12">
        <v>2700</v>
      </c>
      <c r="E81" s="21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Медиум (4 посредине) (4 Зеркала бронза / 8 Черных стекол)","Признак_ВИ_Шкафа","Основной вариант")</f>
        <v>93780</v>
      </c>
      <c r="F81" s="11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Медиум (4 посредине) (4 Зеркала бронза / 8 Черных стекол)","Признак_ВИ_Шкафа","Основной вариант")</f>
        <v>107670</v>
      </c>
      <c r="G81" s="20">
        <f>GETPIVOTDATA("Значение",Лист1!$B$2,"Серия","Эста","Тип_шкафа","3-х дверный купе","Ширина",2700,"Высота",2200,"Глубина",660,"Наименование шкафа на сайте","Эста 3-х дверный Медиум (4 посредине) (4 Зеркала бронза / 8 Черных стекол)","Признак_ВИ_Шкафа","Новый вариант")</f>
        <v>99310</v>
      </c>
      <c r="H81" s="279">
        <f>GETPIVOTDATA("Значение",Лист1!$B$2,"Серия","Эста","Тип_шкафа","3-х дверный купе","Ширина",2700,"Высота",2400,"Глубина",660,"Наименование шкафа на сайте","Эста 3-х дверный Медиум (4 посредине) (4 Зеркала бронза / 8 Черных стекол)","Признак_ВИ_Шкафа","Новый вариант")</f>
        <v>114260</v>
      </c>
    </row>
    <row r="82" spans="1:8" ht="16.5" customHeight="1" x14ac:dyDescent="0.3">
      <c r="A82" s="501"/>
      <c r="B82" s="491"/>
      <c r="C82" s="492"/>
      <c r="D82" s="12">
        <v>3000</v>
      </c>
      <c r="E82" s="21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Медиум (4 посредине) (4 Зеркала бронза / 8 Черных стекол)","Признак_ВИ_Шкафа","Основной вариант")</f>
        <v>97320</v>
      </c>
      <c r="F82" s="11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Медиум (4 посредине) (4 Зеркала бронза / 8 Черных стекол)","Признак_ВИ_Шкафа","Основной вариант")</f>
        <v>112980</v>
      </c>
      <c r="G82" s="20">
        <f>GETPIVOTDATA("Значение",Лист1!$B$2,"Серия","Эста","Тип_шкафа","3-х дверный купе","Ширина",3000,"Высота",2200,"Глубина",660,"Наименование шкафа на сайте","Эста 3-х дверный Медиум (4 посредине) (4 Зеркала бронза / 8 Черных стекол)","Признак_ВИ_Шкафа","Новый вариант")</f>
        <v>103280</v>
      </c>
      <c r="H82" s="279">
        <f>GETPIVOTDATA("Значение",Лист1!$B$2,"Серия","Эста","Тип_шкафа","3-х дверный купе","Ширина",3000,"Высота",2400,"Глубина",660,"Наименование шкафа на сайте","Эста 3-х дверный Медиум (4 посредине) (4 Зеркала бронза / 8 Черных стекол)","Признак_ВИ_Шкафа","Новый вариант")</f>
        <v>120220</v>
      </c>
    </row>
    <row r="83" spans="1:8" ht="16.5" customHeight="1" x14ac:dyDescent="0.3">
      <c r="A83" s="501"/>
      <c r="B83" s="502"/>
      <c r="C83" s="492" t="s">
        <v>914</v>
      </c>
      <c r="D83" s="12">
        <v>2400</v>
      </c>
      <c r="E83" s="21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/ 6 Зеркал)","Признак_ВИ_Шкафа","Основной вариант")</f>
        <v>78110</v>
      </c>
      <c r="F83" s="11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/ 6 Зеркал)","Признак_ВИ_Шкафа","Основной вариант")</f>
        <v>89200</v>
      </c>
      <c r="G83" s="20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/ 6 Зеркал)","Признак_ВИ_Шкафа","Новый вариант")</f>
        <v>83220</v>
      </c>
      <c r="H83" s="19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/ 6 Зеркал)","Признак_ВИ_Шкафа","Новый вариант")</f>
        <v>95380</v>
      </c>
    </row>
    <row r="84" spans="1:8" ht="16.5" customHeight="1" x14ac:dyDescent="0.3">
      <c r="A84" s="501"/>
      <c r="B84" s="502"/>
      <c r="C84" s="492"/>
      <c r="D84" s="12">
        <v>2700</v>
      </c>
      <c r="E84" s="21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/ 6 Зеркал)","Признак_ВИ_Шкафа","Основной вариант")</f>
        <v>81670</v>
      </c>
      <c r="F84" s="11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/ 6 Зеркал)","Признак_ВИ_Шкафа","Основной вариант")</f>
        <v>92760</v>
      </c>
      <c r="G84" s="20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/ 6 Зеркал)","Признак_ВИ_Шкафа","Новый вариант")</f>
        <v>87200</v>
      </c>
      <c r="H84" s="19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/ 6 Зеркал)","Признак_ВИ_Шкафа","Новый вариант")</f>
        <v>99350</v>
      </c>
    </row>
    <row r="85" spans="1:8" ht="16.5" customHeight="1" x14ac:dyDescent="0.3">
      <c r="A85" s="501"/>
      <c r="B85" s="489"/>
      <c r="C85" s="493"/>
      <c r="D85" s="12">
        <v>3000</v>
      </c>
      <c r="E85" s="18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/ 6 Зеркал)","Признак_ВИ_Шкафа","Основной вариант")</f>
        <v>85210</v>
      </c>
      <c r="F85" s="17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/ 6 Зеркал)","Признак_ВИ_Шкафа","Основной вариант")</f>
        <v>98070</v>
      </c>
      <c r="G85" s="16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/ 6 Зеркал)","Признак_ВИ_Шкафа","Новый вариант")</f>
        <v>91170</v>
      </c>
      <c r="H85" s="15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/ 6 Зеркал)","Признак_ВИ_Шкафа","Новый вариант")</f>
        <v>105310</v>
      </c>
    </row>
    <row r="86" spans="1:8" ht="16.5" customHeight="1" x14ac:dyDescent="0.3">
      <c r="A86" s="501"/>
      <c r="B86" s="502"/>
      <c r="C86" s="492" t="s">
        <v>915</v>
      </c>
      <c r="D86" s="12">
        <v>2400</v>
      </c>
      <c r="E86" s="21">
        <f>GETPIVOTDATA("Значение",Лист1!$B$2,"Серия","Эста","Тип_шкафа","3-х дверный купе","Ширина",2400,"Высота",2200,"Наименование шкафа на сайте","Эста 3-х дверный Цельный (12 Белых стекол)","Признак_ВИ_Шкафа","Основной вариант")</f>
        <v>81620</v>
      </c>
      <c r="F86" s="11">
        <f>GETPIVOTDATA("Значение",Лист1!$B$2,"Серия","Эста","Тип_шкафа","3-х дверный купе","Ширина",2400,"Высота",2400,"Наименование шкафа на сайте","Эста 3-х дверный Цельный (12 Белых стекол)","Признак_ВИ_Шкафа","Основной вариант")</f>
        <v>93130</v>
      </c>
      <c r="G86" s="20">
        <f>GETPIVOTDATA("Значение",Лист1!$B$2,"Серия","Эста","Тип_шкафа","3-х дверный купе","Ширина",2400,"Высота",2200,"Наименование шкафа на сайте","Эста 3-х дверный Цельный (12 Белых стекол)","Признак_ВИ_Шкафа","Новый вариант")</f>
        <v>86730</v>
      </c>
      <c r="H86" s="19">
        <f>GETPIVOTDATA("Значение",Лист1!$B$2,"Серия","Эста","Тип_шкафа","3-х дверный купе","Ширина",2400,"Высота",2400,"Наименование шкафа на сайте","Эста 3-х дверный Цельный (12 Белых стекол)","Признак_ВИ_Шкафа","Новый вариант")</f>
        <v>99310</v>
      </c>
    </row>
    <row r="87" spans="1:8" ht="16.5" customHeight="1" x14ac:dyDescent="0.3">
      <c r="A87" s="501"/>
      <c r="B87" s="502"/>
      <c r="C87" s="492"/>
      <c r="D87" s="12">
        <v>2700</v>
      </c>
      <c r="E87" s="21">
        <f>GETPIVOTDATA("Значение",Лист1!$B$2,"Серия","Эста","Тип_шкафа","3-х дверный купе","Ширина",2700,"Высота",2200,"Наименование шкафа на сайте","Эста 3-х дверный Цельный (12 Белых стекол)","Признак_ВИ_Шкафа","Основной вариант")</f>
        <v>85180</v>
      </c>
      <c r="F87" s="11">
        <f>GETPIVOTDATA("Значение",Лист1!$B$2,"Серия","Эста","Тип_шкафа","3-х дверный купе","Ширина",2700,"Высота",2400,"Наименование шкафа на сайте","Эста 3-х дверный Цельный (12 Белых стекол)","Признак_ВИ_Шкафа","Основной вариант")</f>
        <v>96690</v>
      </c>
      <c r="G87" s="20">
        <f>GETPIVOTDATA("Значение",Лист1!$B$2,"Серия","Эста","Тип_шкафа","3-х дверный купе","Ширина",2700,"Высота",2200,"Наименование шкафа на сайте","Эста 3-х дверный Цельный (12 Белых стекол)","Признак_ВИ_Шкафа","Новый вариант")</f>
        <v>90710</v>
      </c>
      <c r="H87" s="19">
        <f>GETPIVOTDATA("Значение",Лист1!$B$2,"Серия","Эста","Тип_шкафа","3-х дверный купе","Ширина",2700,"Высота",2400,"Наименование шкафа на сайте","Эста 3-х дверный Цельный (12 Белых стекол)","Признак_ВИ_Шкафа","Новый вариант")</f>
        <v>103280</v>
      </c>
    </row>
    <row r="88" spans="1:8" ht="16.5" customHeight="1" x14ac:dyDescent="0.3">
      <c r="A88" s="501"/>
      <c r="B88" s="489"/>
      <c r="C88" s="493"/>
      <c r="D88" s="74">
        <v>3000</v>
      </c>
      <c r="E88" s="18">
        <f>GETPIVOTDATA("Значение",Лист1!$B$2,"Серия","Эста","Тип_шкафа","3-х дверный купе","Ширина",3000,"Высота",2200,"Наименование шкафа на сайте","Эста 3-х дверный Цельный (12 Белых стекол)","Признак_ВИ_Шкафа","Основной вариант")</f>
        <v>88720</v>
      </c>
      <c r="F88" s="17">
        <f>GETPIVOTDATA("Значение",Лист1!$B$2,"Серия","Эста","Тип_шкафа","3-х дверный купе","Ширина",3000,"Высота",2400,"Наименование шкафа на сайте","Эста 3-х дверный Цельный (12 Белых стекол)","Признак_ВИ_Шкафа","Основной вариант")</f>
        <v>102000</v>
      </c>
      <c r="G88" s="16">
        <f>GETPIVOTDATA("Значение",Лист1!$B$2,"Серия","Эста","Тип_шкафа","3-х дверный купе","Ширина",3000,"Высота",2200,"Наименование шкафа на сайте","Эста 3-х дверный Цельный (12 Белых стекол)","Признак_ВИ_Шкафа","Новый вариант")</f>
        <v>94680</v>
      </c>
      <c r="H88" s="15">
        <f>GETPIVOTDATA("Значение",Лист1!$B$2,"Серия","Эста","Тип_шкафа","3-х дверный купе","Ширина",3000,"Высота",2400,"Наименование шкафа на сайте","Эста 3-х дверный Цельный (12 Белых стекол)","Признак_ВИ_Шкафа","Новый вариант")</f>
        <v>109240</v>
      </c>
    </row>
    <row r="89" spans="1:8" ht="36.6" customHeight="1" x14ac:dyDescent="0.3">
      <c r="A89" s="162"/>
      <c r="B89" s="163"/>
      <c r="C89" s="233" t="s">
        <v>66</v>
      </c>
      <c r="D89" s="165"/>
      <c r="E89" s="170">
        <f>GETPIVOTDATA("Значение",Лист1!$Y$3,"Вариант_исполнения","Белый снег","Ширина","350","Глубина","600","Высота","2200","Признак вставки","без вставки")</f>
        <v>4540</v>
      </c>
      <c r="F89" s="171">
        <f>GETPIVOTDATA("Значение",Лист1!$Y$3,"Вариант_исполнения","Белый снег","Ширина","350","Глубина","600","Высота","2400","Признак вставки","без вставки")</f>
        <v>4650</v>
      </c>
      <c r="G89" s="170">
        <f>GETPIVOTDATA("Значение",Лист1!$Y$3,"Вариант_исполнения","Бетон","Ширина","350","Глубина","600","Высота","2200","Признак вставки","без вставки")</f>
        <v>5090</v>
      </c>
      <c r="H89" s="171">
        <f>GETPIVOTDATA("Значение",Лист1!$Y$3,"Вариант_исполнения","Бетон","Ширина","350","Глубина","600","Высота","2400","Признак вставки","без вставки")</f>
        <v>5210</v>
      </c>
    </row>
    <row r="90" spans="1:8" ht="36.6" customHeight="1" thickBot="1" x14ac:dyDescent="0.35">
      <c r="A90" s="162"/>
      <c r="B90" s="163"/>
      <c r="C90" s="233" t="s">
        <v>66</v>
      </c>
      <c r="D90" s="165" t="s">
        <v>852</v>
      </c>
      <c r="E90" s="170">
        <f>GETPIVOTDATA("Значение",Лист1!$Y$3,"Вариант_исполнения","Белый снег","Ширина","350","Глубина","600","Высота","2200","Признак вставки","с вставкой")</f>
        <v>5360</v>
      </c>
      <c r="F90" s="171">
        <f>GETPIVOTDATA("Значение",Лист1!$Y$3,"Вариант_исполнения","Белый снег","Ширина","350","Глубина","600","Высота","2400","Признак вставки","с вставкой")</f>
        <v>5640</v>
      </c>
      <c r="G90" s="170">
        <f>GETPIVOTDATA("Значение",Лист1!$Y$3,"Вариант_исполнения","Бетон","Ширина","350","Глубина","600","Высота","2200","Признак вставки","с вставкой")</f>
        <v>5910</v>
      </c>
      <c r="H90" s="171">
        <f>GETPIVOTDATA("Значение",Лист1!$Y$3,"Вариант_исполнения","Бетон","Ширина","350","Глубина","600","Высота","2400","Признак вставки","с вставкой")</f>
        <v>6200</v>
      </c>
    </row>
    <row r="91" spans="1:8" ht="12" customHeight="1" x14ac:dyDescent="0.3">
      <c r="A91" s="378" t="s">
        <v>7</v>
      </c>
      <c r="B91" s="334"/>
      <c r="C91" s="511" t="s">
        <v>6</v>
      </c>
      <c r="D91" s="346" t="s">
        <v>4</v>
      </c>
      <c r="E91" s="345">
        <f>GETPIVOTDATA("Значение",Лист1!$K:$P,"Вариант_исполнения","Белый снег","Ширина","800","Глубина","660","Высота","","Комплектующая","Модуль")</f>
        <v>5240</v>
      </c>
      <c r="F91" s="345"/>
      <c r="G91" s="524">
        <f>GETPIVOTDATA("Значение",Лист1!$K:$P,"Вариант_исполнения","Бетон","Ширина","800","Глубина","660","Высота","","Комплектующая","Модуль")</f>
        <v>5880</v>
      </c>
      <c r="H91" s="524"/>
    </row>
    <row r="92" spans="1:8" ht="12" customHeight="1" x14ac:dyDescent="0.3">
      <c r="A92" s="379"/>
      <c r="B92" s="334"/>
      <c r="C92" s="511"/>
      <c r="D92" s="346"/>
      <c r="E92" s="345"/>
      <c r="F92" s="345"/>
      <c r="G92" s="524"/>
      <c r="H92" s="524"/>
    </row>
    <row r="93" spans="1:8" ht="12" customHeight="1" x14ac:dyDescent="0.3">
      <c r="A93" s="379"/>
      <c r="B93" s="334"/>
      <c r="C93" s="511"/>
      <c r="D93" s="346"/>
      <c r="E93" s="345"/>
      <c r="F93" s="345"/>
      <c r="G93" s="524"/>
      <c r="H93" s="524"/>
    </row>
    <row r="94" spans="1:8" ht="47.25" customHeight="1" x14ac:dyDescent="0.3">
      <c r="A94" s="379"/>
      <c r="B94" s="260"/>
      <c r="C94" s="233" t="s">
        <v>5</v>
      </c>
      <c r="D94" s="165" t="s">
        <v>4</v>
      </c>
      <c r="E94" s="345">
        <f>GETPIVOTDATA("Значение",Лист1!$K:$P,"Вариант_исполнения","Белый снег","Ширина","800","Глубина","580","Высота","","Комплектующая","Доп. Полки")</f>
        <v>1720</v>
      </c>
      <c r="F94" s="345"/>
      <c r="G94" s="524">
        <f>GETPIVOTDATA("Значение",Лист1!$K:$P,"Вариант_исполнения","Бетон","Ширина","800","Глубина","580","Высота","","Комплектующая","Доп. Полки")</f>
        <v>1920</v>
      </c>
      <c r="H94" s="524"/>
    </row>
    <row r="95" spans="1:8" ht="17.399999999999999" customHeight="1" x14ac:dyDescent="0.3">
      <c r="A95" s="379"/>
      <c r="B95" s="334" t="s">
        <v>986</v>
      </c>
      <c r="C95" s="350"/>
      <c r="D95" s="259" t="s">
        <v>987</v>
      </c>
      <c r="E95" s="345">
        <f>GETPIVOTDATA("Значение",Лист1!$Y$18,"Код",1080,"Код_Номенклатуры",24790,"Номенклатура","Комплект Silent System, на закрывание, за профилем, 2 двери, 25 кг, Topline M")</f>
        <v>3520</v>
      </c>
      <c r="F95" s="345"/>
      <c r="G95" s="345"/>
      <c r="H95" s="345"/>
    </row>
    <row r="96" spans="1:8" ht="17.399999999999999" customHeight="1" thickBot="1" x14ac:dyDescent="0.35">
      <c r="A96" s="380"/>
      <c r="B96" s="334" t="s">
        <v>988</v>
      </c>
      <c r="C96" s="350"/>
      <c r="D96" s="259" t="s">
        <v>987</v>
      </c>
      <c r="E96" s="345">
        <f>GETPIVOTDATA("Значение",Лист1!$Y$18,"Код",1081,"Код_Номенклатуры",24801,"Номенклатура","Комплект Silent System, на открывание, без регулировки, 3/4 двери, 50кг, Topline L")</f>
        <v>7660</v>
      </c>
      <c r="F96" s="345"/>
      <c r="G96" s="345"/>
      <c r="H96" s="345"/>
    </row>
    <row r="97" spans="1:8" ht="21.75" customHeight="1" x14ac:dyDescent="0.3">
      <c r="A97" s="378" t="s">
        <v>3</v>
      </c>
      <c r="B97" s="173"/>
      <c r="C97" s="282"/>
      <c r="D97" s="516" t="s">
        <v>2</v>
      </c>
      <c r="E97" s="517"/>
      <c r="F97" s="518" t="s">
        <v>1</v>
      </c>
      <c r="G97" s="519"/>
      <c r="H97" s="174"/>
    </row>
    <row r="98" spans="1:8" ht="59.25" customHeight="1" thickBot="1" x14ac:dyDescent="0.35">
      <c r="A98" s="380"/>
      <c r="B98" s="6"/>
      <c r="C98" s="283"/>
      <c r="D98" s="514"/>
      <c r="E98" s="515"/>
      <c r="F98" s="4"/>
      <c r="G98" s="3"/>
      <c r="H98" s="2"/>
    </row>
    <row r="99" spans="1:8" ht="18" customHeight="1" x14ac:dyDescent="0.3">
      <c r="A99" s="1"/>
    </row>
    <row r="100" spans="1:8" ht="18" customHeight="1" x14ac:dyDescent="0.3">
      <c r="A100" s="1"/>
    </row>
    <row r="125" spans="2:2" x14ac:dyDescent="0.3">
      <c r="B125" t="s">
        <v>0</v>
      </c>
    </row>
  </sheetData>
  <mergeCells count="90">
    <mergeCell ref="B95:C95"/>
    <mergeCell ref="E95:H95"/>
    <mergeCell ref="B96:C96"/>
    <mergeCell ref="E96:H96"/>
    <mergeCell ref="A91:A96"/>
    <mergeCell ref="G94:H94"/>
    <mergeCell ref="D91:D93"/>
    <mergeCell ref="E91:F93"/>
    <mergeCell ref="G91:H93"/>
    <mergeCell ref="B32:B34"/>
    <mergeCell ref="B71:B73"/>
    <mergeCell ref="C8:C10"/>
    <mergeCell ref="C71:C73"/>
    <mergeCell ref="C26:C28"/>
    <mergeCell ref="C32:C34"/>
    <mergeCell ref="C11:C13"/>
    <mergeCell ref="C17:C19"/>
    <mergeCell ref="C20:C22"/>
    <mergeCell ref="C38:C40"/>
    <mergeCell ref="C59:C61"/>
    <mergeCell ref="B50:B52"/>
    <mergeCell ref="B62:B64"/>
    <mergeCell ref="C62:C64"/>
    <mergeCell ref="C65:C67"/>
    <mergeCell ref="B14:B16"/>
    <mergeCell ref="A1:A4"/>
    <mergeCell ref="F3:F4"/>
    <mergeCell ref="F1:F2"/>
    <mergeCell ref="C3:D3"/>
    <mergeCell ref="D98:E98"/>
    <mergeCell ref="A97:A98"/>
    <mergeCell ref="D97:E97"/>
    <mergeCell ref="F97:G97"/>
    <mergeCell ref="B11:B13"/>
    <mergeCell ref="C44:C46"/>
    <mergeCell ref="B56:B58"/>
    <mergeCell ref="B77:B79"/>
    <mergeCell ref="B1:E1"/>
    <mergeCell ref="C2:D2"/>
    <mergeCell ref="B26:B28"/>
    <mergeCell ref="E94:F94"/>
    <mergeCell ref="B86:B88"/>
    <mergeCell ref="B91:B93"/>
    <mergeCell ref="B35:B37"/>
    <mergeCell ref="C35:C37"/>
    <mergeCell ref="A5:A6"/>
    <mergeCell ref="B5:B6"/>
    <mergeCell ref="C5:C6"/>
    <mergeCell ref="B8:B10"/>
    <mergeCell ref="B17:B19"/>
    <mergeCell ref="B20:B22"/>
    <mergeCell ref="C91:C93"/>
    <mergeCell ref="C77:C79"/>
    <mergeCell ref="C56:C58"/>
    <mergeCell ref="C50:C52"/>
    <mergeCell ref="B83:B85"/>
    <mergeCell ref="C83:C85"/>
    <mergeCell ref="G1:G2"/>
    <mergeCell ref="G3:G4"/>
    <mergeCell ref="H1:H2"/>
    <mergeCell ref="H3:H4"/>
    <mergeCell ref="C86:C88"/>
    <mergeCell ref="D5:D6"/>
    <mergeCell ref="G7:H7"/>
    <mergeCell ref="E6:H6"/>
    <mergeCell ref="E7:F7"/>
    <mergeCell ref="A7:D7"/>
    <mergeCell ref="A8:A34"/>
    <mergeCell ref="B38:B40"/>
    <mergeCell ref="B59:B61"/>
    <mergeCell ref="B65:B67"/>
    <mergeCell ref="A35:A88"/>
    <mergeCell ref="B44:B46"/>
    <mergeCell ref="C14:C16"/>
    <mergeCell ref="B23:B25"/>
    <mergeCell ref="C23:C25"/>
    <mergeCell ref="B29:B31"/>
    <mergeCell ref="C29:C31"/>
    <mergeCell ref="B41:B43"/>
    <mergeCell ref="C41:C43"/>
    <mergeCell ref="B47:B49"/>
    <mergeCell ref="C47:C49"/>
    <mergeCell ref="B53:B55"/>
    <mergeCell ref="C53:C55"/>
    <mergeCell ref="B68:B70"/>
    <mergeCell ref="C68:C70"/>
    <mergeCell ref="B74:B76"/>
    <mergeCell ref="C74:C76"/>
    <mergeCell ref="B80:B82"/>
    <mergeCell ref="C80:C82"/>
  </mergeCells>
  <pageMargins left="0.25" right="0.25" top="0.75" bottom="0.75" header="0.3" footer="0.3"/>
  <pageSetup paperSize="9" scale="62" orientation="portrait" r:id="rId1"/>
  <rowBreaks count="2" manualBreakCount="2">
    <brk id="49" max="7" man="1"/>
    <brk id="98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BE5A4-6324-4502-99EC-4731F11FC3D5}">
  <sheetPr codeName="Лист4"/>
  <dimension ref="A1:I109"/>
  <sheetViews>
    <sheetView zoomScale="85" zoomScaleNormal="85" workbookViewId="0">
      <pane xSplit="4" ySplit="7" topLeftCell="E8" activePane="bottomRight" state="frozen"/>
      <selection activeCell="F13" sqref="F13:G13"/>
      <selection pane="topRight" activeCell="F13" sqref="F13:G13"/>
      <selection pane="bottomLeft" activeCell="F13" sqref="F13:G13"/>
      <selection pane="bottomRight" activeCell="F4" sqref="F4"/>
    </sheetView>
  </sheetViews>
  <sheetFormatPr defaultRowHeight="14.4" customHeight="1" x14ac:dyDescent="0.3"/>
  <cols>
    <col min="1" max="1" width="8.44140625" customWidth="1"/>
    <col min="2" max="2" width="16.6640625" customWidth="1"/>
    <col min="3" max="3" width="38.5546875" customWidth="1"/>
    <col min="4" max="4" width="17.88671875" customWidth="1"/>
    <col min="5" max="5" width="11.33203125" customWidth="1"/>
    <col min="6" max="6" width="13.33203125" customWidth="1"/>
    <col min="7" max="9" width="13.5546875" customWidth="1"/>
  </cols>
  <sheetData>
    <row r="1" spans="1:9" ht="16.8" x14ac:dyDescent="0.3">
      <c r="A1" s="352"/>
      <c r="B1" s="138"/>
      <c r="C1" s="520" t="s">
        <v>781</v>
      </c>
      <c r="D1" s="520"/>
      <c r="E1" s="520"/>
      <c r="F1" s="520"/>
      <c r="G1" s="355" t="s">
        <v>782</v>
      </c>
      <c r="H1" s="403"/>
      <c r="I1" s="403"/>
    </row>
    <row r="2" spans="1:9" ht="20.399999999999999" x14ac:dyDescent="0.3">
      <c r="A2" s="353"/>
      <c r="B2" s="142"/>
      <c r="C2" s="130" t="s">
        <v>26</v>
      </c>
      <c r="D2" s="521"/>
      <c r="E2" s="521"/>
      <c r="F2" s="42"/>
      <c r="G2" s="355"/>
      <c r="H2" s="403"/>
      <c r="I2" s="403"/>
    </row>
    <row r="3" spans="1:9" x14ac:dyDescent="0.3">
      <c r="A3" s="353"/>
      <c r="B3" s="142"/>
      <c r="C3" s="41"/>
      <c r="D3" s="513" t="s">
        <v>25</v>
      </c>
      <c r="E3" s="513"/>
      <c r="F3" s="39">
        <v>45314</v>
      </c>
      <c r="G3" s="355" t="s">
        <v>783</v>
      </c>
      <c r="H3" s="403"/>
      <c r="I3" s="403"/>
    </row>
    <row r="4" spans="1:9" ht="15" thickBot="1" x14ac:dyDescent="0.35">
      <c r="A4" s="354"/>
      <c r="B4" s="139"/>
      <c r="C4" s="38"/>
      <c r="D4" s="37"/>
      <c r="E4" s="37"/>
      <c r="F4" s="36"/>
      <c r="G4" s="355"/>
      <c r="H4" s="403"/>
      <c r="I4" s="403"/>
    </row>
    <row r="5" spans="1:9" x14ac:dyDescent="0.3">
      <c r="A5" s="505" t="s">
        <v>24</v>
      </c>
      <c r="B5" s="525" t="s">
        <v>755</v>
      </c>
      <c r="C5" s="506" t="s">
        <v>23</v>
      </c>
      <c r="D5" s="506" t="s">
        <v>22</v>
      </c>
      <c r="E5" s="374" t="s">
        <v>21</v>
      </c>
      <c r="F5" s="129" t="s">
        <v>20</v>
      </c>
      <c r="G5" s="128" t="s">
        <v>19</v>
      </c>
      <c r="H5" s="129" t="s">
        <v>20</v>
      </c>
      <c r="I5" s="128" t="s">
        <v>19</v>
      </c>
    </row>
    <row r="6" spans="1:9" ht="15.6" customHeight="1" thickBot="1" x14ac:dyDescent="0.35">
      <c r="A6" s="368"/>
      <c r="B6" s="526"/>
      <c r="C6" s="397"/>
      <c r="D6" s="397"/>
      <c r="E6" s="377"/>
      <c r="F6" s="409" t="s">
        <v>18</v>
      </c>
      <c r="G6" s="410"/>
      <c r="H6" s="410"/>
      <c r="I6" s="411"/>
    </row>
    <row r="7" spans="1:9" ht="21.6" customHeight="1" thickBot="1" x14ac:dyDescent="0.35">
      <c r="A7" s="467"/>
      <c r="B7" s="468"/>
      <c r="C7" s="468"/>
      <c r="D7" s="468"/>
      <c r="E7" s="469"/>
      <c r="F7" s="433" t="s">
        <v>17</v>
      </c>
      <c r="G7" s="500"/>
      <c r="H7" s="433" t="s">
        <v>58</v>
      </c>
      <c r="I7" s="434"/>
    </row>
    <row r="8" spans="1:9" ht="16.2" x14ac:dyDescent="0.3">
      <c r="A8" s="378" t="s">
        <v>2</v>
      </c>
      <c r="B8" s="527" t="s">
        <v>756</v>
      </c>
      <c r="C8" s="530"/>
      <c r="D8" s="531" t="s">
        <v>757</v>
      </c>
      <c r="E8" s="12">
        <v>1600</v>
      </c>
      <c r="F8" s="31">
        <f>GETPIVOTDATA("Значение",Лист1!$B$2,"Серия","Эста","Тип_шкафа","2-х дверный купе","Ширина",1600,"Высота",2200,"Наименование шкафа на сайте","Эста 2-х дверный Комби (4 Белых стекла Диско / 4 ЛДСП)","Признак_ВИ_Шкафа","Основной вариант")</f>
        <v>57140</v>
      </c>
      <c r="G8" s="140">
        <f>GETPIVOTDATA("Значение",Лист1!$B$2,"Серия","Эста","Тип_шкафа","2-х дверный купе","Ширина",1600,"Высота",2400,"Наименование шкафа на сайте","Эста 2-х дверный Комби (4 Белых стекла Диско / 4 ЛДСП)","Признак_ВИ_Шкафа","Основной вариант")</f>
        <v>67500</v>
      </c>
      <c r="H8" s="31">
        <f>GETPIVOTDATA("Значение",Лист1!$B$2,"Серия","Эста","Тип_шкафа","2-х дверный купе","Ширина",1600,"Высота",2200,"Наименование шкафа на сайте","Эста 2-х дверный Комби (4 Белых стекла Диско / 4 ЛДСП)","Признак_ВИ_Шкафа","Новый вариант")</f>
        <v>61400</v>
      </c>
      <c r="I8" s="140">
        <f>GETPIVOTDATA("Значение",Лист1!$B$2,"Серия","Эста","Тип_шкафа","2-х дверный купе","Ширина",1600,"Высота",2400,"Наименование шкафа на сайте","Эста 2-х дверный Комби (4 Белых стекла Диско / 4 ЛДСП)","Признак_ВИ_Шкафа","Новый вариант")</f>
        <v>72600</v>
      </c>
    </row>
    <row r="9" spans="1:9" ht="16.2" x14ac:dyDescent="0.3">
      <c r="A9" s="379"/>
      <c r="B9" s="528"/>
      <c r="C9" s="530"/>
      <c r="D9" s="531"/>
      <c r="E9" s="12">
        <v>1800</v>
      </c>
      <c r="F9" s="31">
        <f>GETPIVOTDATA("Значение",Лист1!$B$2,"Серия","Эста","Тип_шкафа","2-х дверный купе","Ширина",1800,"Высота",2200,"Наименование шкафа на сайте","Эста 2-х дверный Комби (4 Белых стекла Диско / 4 ЛДСП)","Признак_ВИ_Шкафа","Основной вариант")</f>
        <v>60670</v>
      </c>
      <c r="G9" s="140">
        <f>GETPIVOTDATA("Значение",Лист1!$B$2,"Серия","Эста","Тип_шкафа","2-х дверный купе","Ширина",1800,"Высота",2400,"Наименование шкафа на сайте","Эста 2-х дверный Комби (4 Белых стекла Диско / 4 ЛДСП)","Признак_ВИ_Шкафа","Основной вариант")</f>
        <v>71030</v>
      </c>
      <c r="H9" s="31">
        <f>GETPIVOTDATA("Значение",Лист1!$B$2,"Серия","Эста","Тип_шкафа","2-х дверный купе","Ширина",1800,"Высота",2200,"Наименование шкафа на сайте","Эста 2-х дверный Комби (4 Белых стекла Диско / 4 ЛДСП)","Признак_ВИ_Шкафа","Новый вариант")</f>
        <v>65360</v>
      </c>
      <c r="I9" s="140">
        <f>GETPIVOTDATA("Значение",Лист1!$B$2,"Серия","Эста","Тип_шкафа","2-х дверный купе","Ширина",1800,"Высота",2400,"Наименование шкафа на сайте","Эста 2-х дверный Комби (4 Белых стекла Диско / 4 ЛДСП)","Признак_ВИ_Шкафа","Новый вариант")</f>
        <v>76560</v>
      </c>
    </row>
    <row r="10" spans="1:9" ht="16.2" x14ac:dyDescent="0.3">
      <c r="A10" s="379"/>
      <c r="B10" s="528"/>
      <c r="C10" s="530"/>
      <c r="D10" s="531"/>
      <c r="E10" s="12">
        <v>2000</v>
      </c>
      <c r="F10" s="31">
        <f>GETPIVOTDATA("Значение",Лист1!$B$2,"Серия","Эста","Тип_шкафа","2-х дверный купе","Ширина",2000,"Высота",2200,"Наименование шкафа на сайте","Эста 2-х дверный Комби (4 Белых стекла Диско / 4 ЛДСП)","Признак_ВИ_Шкафа","Основной вариант")</f>
        <v>64240</v>
      </c>
      <c r="G10" s="140">
        <f>GETPIVOTDATA("Значение",Лист1!$B$2,"Серия","Эста","Тип_шкафа","2-х дверный купе","Ширина",2000,"Высота",2400,"Наименование шкафа на сайте","Эста 2-х дверный Комби (4 Белых стекла Диско / 4 ЛДСП)","Признак_ВИ_Шкафа","Основной вариант")</f>
        <v>74580</v>
      </c>
      <c r="H10" s="31">
        <f>GETPIVOTDATA("Значение",Лист1!$B$2,"Серия","Эста","Тип_шкафа","2-х дверный купе","Ширина",2000,"Высота",2200,"Наименование шкафа на сайте","Эста 2-х дверный Комби (4 Белых стекла Диско / 4 ЛДСП)","Признак_ВИ_Шкафа","Новый вариант")</f>
        <v>69340</v>
      </c>
      <c r="I10" s="140">
        <f>GETPIVOTDATA("Значение",Лист1!$B$2,"Серия","Эста","Тип_шкафа","2-х дверный купе","Ширина",2000,"Высота",2400,"Наименование шкафа на сайте","Эста 2-х дверный Комби (4 Белых стекла Диско / 4 ЛДСП)","Признак_ВИ_Шкафа","Новый вариант")</f>
        <v>80540</v>
      </c>
    </row>
    <row r="11" spans="1:9" ht="16.2" x14ac:dyDescent="0.3">
      <c r="A11" s="379"/>
      <c r="B11" s="528"/>
      <c r="C11" s="530"/>
      <c r="D11" s="531" t="s">
        <v>758</v>
      </c>
      <c r="E11" s="121">
        <v>1600</v>
      </c>
      <c r="F11" s="31">
        <f>GETPIVOTDATA("Значение",Лист1!$B$2,"Серия","Эста","Тип_шкафа","2-х дверный купе","Ширина",1600,"Высота",2200,"Наименование шкафа на сайте","Эста 2-х дверный Комби (4 Белых стекла Диско / 4 Зеркала)","Признак_ВИ_Шкафа","Основной вариант")</f>
        <v>62460</v>
      </c>
      <c r="G11" s="140">
        <f>GETPIVOTDATA("Значение",Лист1!$B$2,"Серия","Эста","Тип_шкафа","2-х дверный купе","Ширина",1600,"Высота",2400,"Наименование шкафа на сайте","Эста 2-х дверный Комби (4 Белых стекла Диско / 4 Зеркала)","Признак_ВИ_Шкафа","Основной вариант")</f>
        <v>73420</v>
      </c>
      <c r="H11" s="31">
        <f>GETPIVOTDATA("Значение",Лист1!$B$2,"Серия","Эста","Тип_шкафа","2-х дверный купе","Ширина",1600,"Высота",2200,"Наименование шкафа на сайте","Эста 2-х дверный Комби (4 Белых стекла Диско / 4 Зеркала)","Признак_ВИ_Шкафа","Новый вариант")</f>
        <v>66080</v>
      </c>
      <c r="I11" s="140">
        <f>GETPIVOTDATA("Значение",Лист1!$B$2,"Серия","Эста","Тип_шкафа","2-х дверный купе","Ширина",1600,"Высота",2400,"Наименование шкафа на сайте","Эста 2-х дверный Комби (4 Белых стекла Диско / 4 Зеркала)","Признак_ВИ_Шкафа","Новый вариант")</f>
        <v>77880</v>
      </c>
    </row>
    <row r="12" spans="1:9" ht="16.2" x14ac:dyDescent="0.3">
      <c r="A12" s="379"/>
      <c r="B12" s="528"/>
      <c r="C12" s="530"/>
      <c r="D12" s="531"/>
      <c r="E12" s="121">
        <v>1800</v>
      </c>
      <c r="F12" s="31">
        <f>GETPIVOTDATA("Значение",Лист1!$B$2,"Серия","Эста","Тип_шкафа","2-х дверный купе","Ширина",1800,"Высота",2200,"Наименование шкафа на сайте","Эста 2-х дверный Комби (4 Белых стекла Диско / 4 Зеркала)","Признак_ВИ_Шкафа","Основной вариант")</f>
        <v>65990</v>
      </c>
      <c r="G12" s="140">
        <f>GETPIVOTDATA("Значение",Лист1!$B$2,"Серия","Эста","Тип_шкафа","2-х дверный купе","Ширина",1800,"Высота",2400,"Наименование шкафа на сайте","Эста 2-х дверный Комби (4 Белых стекла Диско / 4 Зеркала)","Признак_ВИ_Шкафа","Основной вариант")</f>
        <v>76950</v>
      </c>
      <c r="H12" s="31">
        <f>GETPIVOTDATA("Значение",Лист1!$B$2,"Серия","Эста","Тип_шкафа","2-х дверный купе","Ширина",1800,"Высота",2200,"Наименование шкафа на сайте","Эста 2-х дверный Комби (4 Белых стекла Диско / 4 Зеркала)","Признак_ВИ_Шкафа","Новый вариант")</f>
        <v>70040</v>
      </c>
      <c r="I12" s="140">
        <f>GETPIVOTDATA("Значение",Лист1!$B$2,"Серия","Эста","Тип_шкафа","2-х дверный купе","Ширина",1800,"Высота",2400,"Наименование шкафа на сайте","Эста 2-х дверный Комби (4 Белых стекла Диско / 4 Зеркала)","Признак_ВИ_Шкафа","Новый вариант")</f>
        <v>81840</v>
      </c>
    </row>
    <row r="13" spans="1:9" ht="16.2" x14ac:dyDescent="0.3">
      <c r="A13" s="379"/>
      <c r="B13" s="528"/>
      <c r="C13" s="530"/>
      <c r="D13" s="531"/>
      <c r="E13" s="121">
        <v>2000</v>
      </c>
      <c r="F13" s="31">
        <f>GETPIVOTDATA("Значение",Лист1!$B$2,"Серия","Эста","Тип_шкафа","2-х дверный купе","Ширина",2000,"Высота",2200,"Наименование шкафа на сайте","Эста 2-х дверный Комби (4 Белых стекла Диско / 4 Зеркала)","Признак_ВИ_Шкафа","Основной вариант")</f>
        <v>69560</v>
      </c>
      <c r="G13" s="140">
        <f>GETPIVOTDATA("Значение",Лист1!$B$2,"Серия","Эста","Тип_шкафа","2-х дверный купе","Ширина",2000,"Высота",2400,"Наименование шкафа на сайте","Эста 2-х дверный Комби (4 Белых стекла Диско / 4 Зеркала)","Признак_ВИ_Шкафа","Основной вариант")</f>
        <v>80500</v>
      </c>
      <c r="H13" s="31">
        <f>GETPIVOTDATA("Значение",Лист1!$B$2,"Серия","Эста","Тип_шкафа","2-х дверный купе","Ширина",2000,"Высота",2200,"Наименование шкафа на сайте","Эста 2-х дверный Комби (4 Белых стекла Диско / 4 Зеркала)","Признак_ВИ_Шкафа","Новый вариант")</f>
        <v>74020</v>
      </c>
      <c r="I13" s="140">
        <f>GETPIVOTDATA("Значение",Лист1!$B$2,"Серия","Эста","Тип_шкафа","2-х дверный купе","Ширина",2000,"Высота",2400,"Наименование шкафа на сайте","Эста 2-х дверный Комби (4 Белых стекла Диско / 4 Зеркала)","Признак_ВИ_Шкафа","Новый вариант")</f>
        <v>85820</v>
      </c>
    </row>
    <row r="14" spans="1:9" ht="16.2" x14ac:dyDescent="0.3">
      <c r="A14" s="379"/>
      <c r="B14" s="528"/>
      <c r="C14" s="530"/>
      <c r="D14" s="531" t="s">
        <v>759</v>
      </c>
      <c r="E14" s="121">
        <v>1600</v>
      </c>
      <c r="F14" s="31">
        <f>GETPIVOTDATA("Значение",Лист1!$B$2,"Серия","Эста","Тип_шкафа","2-х дверный купе","Ширина",1600,"Высота",2200,"Наименование шкафа на сайте","Эста 2-х дверный Комби (4 Белых стекла Диско / 4 Белых стекла)","Признак_ВИ_Шкафа","Основной вариант")</f>
        <v>64800</v>
      </c>
      <c r="G14" s="140">
        <f>GETPIVOTDATA("Значение",Лист1!$B$2,"Серия","Эста","Тип_шкафа","2-х дверный купе","Ширина",1600,"Высота",2400,"Наименование шкафа на сайте","Эста 2-х дверный Комби (4 Белых стекла Диско / 4 Белых стекла)","Признак_ВИ_Шкафа","Основной вариант")</f>
        <v>76040</v>
      </c>
      <c r="H14" s="31">
        <f>GETPIVOTDATA("Значение",Лист1!$B$2,"Серия","Эста","Тип_шкафа","2-х дверный купе","Ширина",1600,"Высота",2200,"Наименование шкафа на сайте","Эста 2-х дверный Комби (4 Белых стекла Диско / 4 Белых стекла)","Признак_ВИ_Шкафа","Новый вариант")</f>
        <v>68420</v>
      </c>
      <c r="I14" s="140">
        <f>GETPIVOTDATA("Значение",Лист1!$B$2,"Серия","Эста","Тип_шкафа","2-х дверный купе","Ширина",1600,"Высота",2400,"Наименование шкафа на сайте","Эста 2-х дверный Комби (4 Белых стекла Диско / 4 Белых стекла)","Признак_ВИ_Шкафа","Новый вариант")</f>
        <v>80500</v>
      </c>
    </row>
    <row r="15" spans="1:9" ht="16.2" x14ac:dyDescent="0.3">
      <c r="A15" s="379"/>
      <c r="B15" s="528"/>
      <c r="C15" s="530"/>
      <c r="D15" s="531"/>
      <c r="E15" s="121">
        <v>1800</v>
      </c>
      <c r="F15" s="31">
        <f>GETPIVOTDATA("Значение",Лист1!$B$2,"Серия","Эста","Тип_шкафа","2-х дверный купе","Ширина",1800,"Высота",2200,"Наименование шкафа на сайте","Эста 2-х дверный Комби (4 Белых стекла Диско / 4 Белых стекла)","Признак_ВИ_Шкафа","Основной вариант")</f>
        <v>68330</v>
      </c>
      <c r="G15" s="140">
        <f>GETPIVOTDATA("Значение",Лист1!$B$2,"Серия","Эста","Тип_шкафа","2-х дверный купе","Ширина",1800,"Высота",2400,"Наименование шкафа на сайте","Эста 2-х дверный Комби (4 Белых стекла Диско / 4 Белых стекла)","Признак_ВИ_Шкафа","Основной вариант")</f>
        <v>79570</v>
      </c>
      <c r="H15" s="31">
        <f>GETPIVOTDATA("Значение",Лист1!$B$2,"Серия","Эста","Тип_шкафа","2-х дверный купе","Ширина",1800,"Высота",2200,"Наименование шкафа на сайте","Эста 2-х дверный Комби (4 Белых стекла Диско / 4 Белых стекла)","Признак_ВИ_Шкафа","Новый вариант")</f>
        <v>72380</v>
      </c>
      <c r="I15" s="140">
        <f>GETPIVOTDATA("Значение",Лист1!$B$2,"Серия","Эста","Тип_шкафа","2-х дверный купе","Ширина",1800,"Высота",2400,"Наименование шкафа на сайте","Эста 2-х дверный Комби (4 Белых стекла Диско / 4 Белых стекла)","Признак_ВИ_Шкафа","Новый вариант")</f>
        <v>84460</v>
      </c>
    </row>
    <row r="16" spans="1:9" ht="16.2" x14ac:dyDescent="0.3">
      <c r="A16" s="379"/>
      <c r="B16" s="528"/>
      <c r="C16" s="530"/>
      <c r="D16" s="531"/>
      <c r="E16" s="121">
        <v>2000</v>
      </c>
      <c r="F16" s="31">
        <f>GETPIVOTDATA("Значение",Лист1!$B$2,"Серия","Эста","Тип_шкафа","2-х дверный купе","Ширина",2000,"Высота",2200,"Наименование шкафа на сайте","Эста 2-х дверный Комби (4 Белых стекла Диско / 4 Зеркала)","Признак_ВИ_Шкафа","Основной вариант")</f>
        <v>69560</v>
      </c>
      <c r="G16" s="140">
        <f>GETPIVOTDATA("Значение",Лист1!$B$2,"Серия","Эста","Тип_шкафа","2-х дверный купе","Ширина",2000,"Высота",2400,"Наименование шкафа на сайте","Эста 2-х дверный Комби (4 Белых стекла Диско / 4 Зеркала)","Признак_ВИ_Шкафа","Основной вариант")</f>
        <v>80500</v>
      </c>
      <c r="H16" s="31">
        <f>GETPIVOTDATA("Значение",Лист1!$B$2,"Серия","Эста","Тип_шкафа","2-х дверный купе","Ширина",2000,"Высота",2200,"Наименование шкафа на сайте","Эста 2-х дверный Комби (4 Белых стекла Диско / 4 Зеркала)","Признак_ВИ_Шкафа","Новый вариант")</f>
        <v>74020</v>
      </c>
      <c r="I16" s="140">
        <f>GETPIVOTDATA("Значение",Лист1!$B$2,"Серия","Эста","Тип_шкафа","2-х дверный купе","Ширина",2000,"Высота",2400,"Наименование шкафа на сайте","Эста 2-х дверный Комби (4 Белых стекла Диско / 4 Зеркала)","Признак_ВИ_Шкафа","Новый вариант")</f>
        <v>85820</v>
      </c>
    </row>
    <row r="17" spans="1:9" ht="16.2" x14ac:dyDescent="0.3">
      <c r="A17" s="379"/>
      <c r="B17" s="528"/>
      <c r="C17" s="530"/>
      <c r="D17" s="531" t="s">
        <v>760</v>
      </c>
      <c r="E17" s="12">
        <v>1600</v>
      </c>
      <c r="F17" s="31">
        <f>GETPIVOTDATA("Значение",Лист1!$B$2,"Серия","Эста","Тип_шкафа","2-х дверный купе","Ширина",1600,"Высота",2200,"Наименование шкафа на сайте","Эста 2-х дверный Комби (4 Белых стекла Диско / 4 Черных стекла Диско)","Признак_ВИ_Шкафа","Основной вариант")</f>
        <v>73400</v>
      </c>
      <c r="G17" s="140">
        <f>GETPIVOTDATA("Значение",Лист1!$B$2,"Серия","Эста","Тип_шкафа","2-х дверный купе","Ширина",1600,"Высота",2400,"Наименование шкафа на сайте","Эста 2-х дверный Комби (4 Белых стекла Диско / 4 Черных стекла Диско)","Признак_ВИ_Шкафа","Основной вариант")</f>
        <v>87020</v>
      </c>
      <c r="H17" s="31">
        <f>GETPIVOTDATA("Значение",Лист1!$B$2,"Серия","Эста","Тип_шкафа","2-х дверный купе","Ширина",1600,"Высота",2200,"Наименование шкафа на сайте","Эста 2-х дверный Комби (4 Белых стекла Диско / 4 Черных стекла Диско)","Признак_ВИ_Шкафа","Новый вариант")</f>
        <v>77020</v>
      </c>
      <c r="I17" s="140">
        <f>GETPIVOTDATA("Значение",Лист1!$B$2,"Серия","Эста","Тип_шкафа","2-х дверный купе","Ширина",1600,"Высота",2400,"Наименование шкафа на сайте","Эста 2-х дверный Комби (4 Белых стекла Диско / 4 Черных стекла Диско)","Признак_ВИ_Шкафа","Новый вариант")</f>
        <v>91480</v>
      </c>
    </row>
    <row r="18" spans="1:9" ht="16.2" x14ac:dyDescent="0.3">
      <c r="A18" s="379"/>
      <c r="B18" s="528"/>
      <c r="C18" s="530"/>
      <c r="D18" s="531"/>
      <c r="E18" s="12">
        <v>1800</v>
      </c>
      <c r="F18" s="31">
        <f>GETPIVOTDATA("Значение",Лист1!$B$2,"Серия","Эста","Тип_шкафа","2-х дверный купе","Ширина",1800,"Высота",2200,"Наименование шкафа на сайте","Эста 2-х дверный Комби (4 Белых стекла Диско / 4 Черных стекла Диско)","Признак_ВИ_Шкафа","Основной вариант")</f>
        <v>76930</v>
      </c>
      <c r="G18" s="140">
        <f>GETPIVOTDATA("Значение",Лист1!$B$2,"Серия","Эста","Тип_шкафа","2-х дверный купе","Ширина",1800,"Высота",2400,"Наименование шкафа на сайте","Эста 2-х дверный Комби (4 Белых стекла Диско / 4 Черных стекла Диско)","Признак_ВИ_Шкафа","Основной вариант")</f>
        <v>90550</v>
      </c>
      <c r="H18" s="31">
        <f>GETPIVOTDATA("Значение",Лист1!$B$2,"Серия","Эста","Тип_шкафа","2-х дверный купе","Ширина",1800,"Высота",2200,"Наименование шкафа на сайте","Эста 2-х дверный Комби (4 Белых стекла Диско / 4 Черных стекла Диско)","Признак_ВИ_Шкафа","Новый вариант")</f>
        <v>80980</v>
      </c>
      <c r="I18" s="140">
        <f>GETPIVOTDATA("Значение",Лист1!$B$2,"Серия","Эста","Тип_шкафа","2-х дверный купе","Ширина",1800,"Высота",2400,"Наименование шкафа на сайте","Эста 2-х дверный Комби (4 Белых стекла Диско / 4 Черных стекла Диско)","Признак_ВИ_Шкафа","Новый вариант")</f>
        <v>95440</v>
      </c>
    </row>
    <row r="19" spans="1:9" ht="16.2" x14ac:dyDescent="0.3">
      <c r="A19" s="379"/>
      <c r="B19" s="528"/>
      <c r="C19" s="530"/>
      <c r="D19" s="531"/>
      <c r="E19" s="12">
        <v>2000</v>
      </c>
      <c r="F19" s="31">
        <f>GETPIVOTDATA("Значение",Лист1!$B$2,"Серия","Эста","Тип_шкафа","2-х дверный купе","Ширина",2000,"Высота",2200,"Наименование шкафа на сайте","Эста 2-х дверный Комби (4 Белых стекла Диско / 4 Черных стекла Диско)","Признак_ВИ_Шкафа","Основной вариант")</f>
        <v>80500</v>
      </c>
      <c r="G19" s="140">
        <f>GETPIVOTDATA("Значение",Лист1!$B$2,"Серия","Эста","Тип_шкафа","2-х дверный купе","Ширина",2000,"Высота",2400,"Наименование шкафа на сайте","Эста 2-х дверный Комби (4 Белых стекла Диско / 4 Черных стекла Диско)","Признак_ВИ_Шкафа","Основной вариант")</f>
        <v>94100</v>
      </c>
      <c r="H19" s="31">
        <f>GETPIVOTDATA("Значение",Лист1!$B$2,"Серия","Эста","Тип_шкафа","2-х дверный купе","Ширина",2000,"Высота",2200,"Наименование шкафа на сайте","Эста 2-х дверный Комби (4 Белых стекла Диско / 4 Черных стекла Диско)","Признак_ВИ_Шкафа","Новый вариант")</f>
        <v>84960</v>
      </c>
      <c r="I19" s="140">
        <f>GETPIVOTDATA("Значение",Лист1!$B$2,"Серия","Эста","Тип_шкафа","2-х дверный купе","Ширина",2000,"Высота",2400,"Наименование шкафа на сайте","Эста 2-х дверный Комби (4 Белых стекла Диско / 4 Черных стекла Диско)","Признак_ВИ_Шкафа","Новый вариант")</f>
        <v>99420</v>
      </c>
    </row>
    <row r="20" spans="1:9" ht="16.2" x14ac:dyDescent="0.3">
      <c r="A20" s="379"/>
      <c r="B20" s="528"/>
      <c r="C20" s="530"/>
      <c r="D20" s="531" t="s">
        <v>761</v>
      </c>
      <c r="E20" s="12">
        <v>1600</v>
      </c>
      <c r="F20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Белых стекол / 2 Белых стекла Диско)","Признак_ВИ_Шкафа","Основной вариант")</f>
        <v>60500</v>
      </c>
      <c r="G20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Белых стекол / 2 Белых стекла Диско)","Признак_ВИ_Шкафа","Основной вариант")</f>
        <v>70550</v>
      </c>
      <c r="H20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Белых стекол / 2 Белых стекла Диско)","Признак_ВИ_Шкафа","Новый вариант")</f>
        <v>64120</v>
      </c>
      <c r="I20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Белых стекол / 2 Белых стекла Диско)","Признак_ВИ_Шкафа","Новый вариант")</f>
        <v>75010</v>
      </c>
    </row>
    <row r="21" spans="1:9" ht="16.2" x14ac:dyDescent="0.3">
      <c r="A21" s="379"/>
      <c r="B21" s="528"/>
      <c r="C21" s="530"/>
      <c r="D21" s="531"/>
      <c r="E21" s="12">
        <v>1800</v>
      </c>
      <c r="F21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Белых стекол / 2 Белых стекла Диско)","Признак_ВИ_Шкафа","Основной вариант")</f>
        <v>64030</v>
      </c>
      <c r="G21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Белых стекол / 2 Белых стекла Диско)","Признак_ВИ_Шкафа","Основной вариант")</f>
        <v>74080</v>
      </c>
      <c r="H21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Белых стекол / 2 Белых стекла Диско)","Признак_ВИ_Шкафа","Новый вариант")</f>
        <v>68080</v>
      </c>
      <c r="I21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Белых стекол / 2 Белых стекла Диско)","Признак_ВИ_Шкафа","Новый вариант")</f>
        <v>78970</v>
      </c>
    </row>
    <row r="22" spans="1:9" ht="16.2" x14ac:dyDescent="0.3">
      <c r="A22" s="379"/>
      <c r="B22" s="528"/>
      <c r="C22" s="530"/>
      <c r="D22" s="531"/>
      <c r="E22" s="12">
        <v>2000</v>
      </c>
      <c r="F22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Белых стекол / 2 Белых стекла Диско)","Признак_ВИ_Шкафа","Основной вариант")</f>
        <v>67600</v>
      </c>
      <c r="G22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Белых стекол / 2 Белых стекла Диско)","Признак_ВИ_Шкафа","Основной вариант")</f>
        <v>77630</v>
      </c>
      <c r="H22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Белых стекол / 2 Белых стекла Диско)","Признак_ВИ_Шкафа","Новый вариант")</f>
        <v>72060</v>
      </c>
      <c r="I22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Белых стекол / 2 Белых стекла Диско)","Признак_ВИ_Шкафа","Новый вариант")</f>
        <v>82950</v>
      </c>
    </row>
    <row r="23" spans="1:9" ht="16.2" x14ac:dyDescent="0.3">
      <c r="A23" s="379"/>
      <c r="B23" s="528"/>
      <c r="C23" s="530"/>
      <c r="D23" s="531" t="s">
        <v>762</v>
      </c>
      <c r="E23" s="12">
        <v>1600</v>
      </c>
      <c r="F23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Белых стекол Диско / 2 Белых стекла)","Признак_ВИ_Шкафа","Основной вариант")</f>
        <v>69100</v>
      </c>
      <c r="G23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Белых стекол Диско / 2 Белых стекла)","Признак_ВИ_Шкафа","Основной вариант")</f>
        <v>81530</v>
      </c>
      <c r="H23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Белых стекол Диско / 2 Белых стекла)","Признак_ВИ_Шкафа","Новый вариант")</f>
        <v>72720</v>
      </c>
      <c r="I23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Белых стекол Диско / 2 Белых стекла)","Признак_ВИ_Шкафа","Новый вариант")</f>
        <v>85990</v>
      </c>
    </row>
    <row r="24" spans="1:9" ht="16.2" x14ac:dyDescent="0.3">
      <c r="A24" s="379"/>
      <c r="B24" s="528"/>
      <c r="C24" s="530"/>
      <c r="D24" s="531"/>
      <c r="E24" s="12">
        <v>1800</v>
      </c>
      <c r="F24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Белых стекол Диско / 2 Белых стекла)","Признак_ВИ_Шкафа","Основной вариант")</f>
        <v>72630</v>
      </c>
      <c r="G24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Белых стекол Диско / 2 Белых стекла)","Признак_ВИ_Шкафа","Основной вариант")</f>
        <v>85060</v>
      </c>
      <c r="H24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Белых стекол Диско / 2 Белых стекла)","Признак_ВИ_Шкафа","Новый вариант")</f>
        <v>76680</v>
      </c>
      <c r="I24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Белых стекол Диско / 2 Белых стекла)","Признак_ВИ_Шкафа","Новый вариант")</f>
        <v>89950</v>
      </c>
    </row>
    <row r="25" spans="1:9" ht="16.2" x14ac:dyDescent="0.3">
      <c r="A25" s="379"/>
      <c r="B25" s="528"/>
      <c r="C25" s="530"/>
      <c r="D25" s="531"/>
      <c r="E25" s="12">
        <v>2000</v>
      </c>
      <c r="F25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Белых стекол Диско / 2 Белых стекла)","Признак_ВИ_Шкафа","Основной вариант")</f>
        <v>76200</v>
      </c>
      <c r="G25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Белых стекол Диско / 2 Белых стекла)","Признак_ВИ_Шкафа","Основной вариант")</f>
        <v>88610</v>
      </c>
      <c r="H25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Белых стекол Диско / 2 Белых стекла)","Признак_ВИ_Шкафа","Новый вариант")</f>
        <v>80660</v>
      </c>
      <c r="I25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Белых стекол Диско / 2 Белых стекла)","Признак_ВИ_Шкафа","Новый вариант")</f>
        <v>93930</v>
      </c>
    </row>
    <row r="26" spans="1:9" ht="16.2" x14ac:dyDescent="0.3">
      <c r="A26" s="379"/>
      <c r="B26" s="528"/>
      <c r="C26" s="530"/>
      <c r="D26" s="531" t="s">
        <v>763</v>
      </c>
      <c r="E26" s="12">
        <v>1600</v>
      </c>
      <c r="F26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Белых стекол Диско / 2 Зеркала)","Признак_ВИ_Шкафа","Основной вариант")</f>
        <v>67930</v>
      </c>
      <c r="G26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Белых стекол Диско / 2 Зеркала)","Признак_ВИ_Шкафа","Основной вариант")</f>
        <v>80220</v>
      </c>
      <c r="H26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Белых стекол Диско / 2 Зеркала)","Признак_ВИ_Шкафа","Новый вариант")</f>
        <v>71550</v>
      </c>
      <c r="I26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Белых стекол Диско / 2 Зеркала)","Признак_ВИ_Шкафа","Новый вариант")</f>
        <v>84680</v>
      </c>
    </row>
    <row r="27" spans="1:9" ht="16.2" x14ac:dyDescent="0.3">
      <c r="A27" s="379"/>
      <c r="B27" s="528"/>
      <c r="C27" s="530"/>
      <c r="D27" s="531"/>
      <c r="E27" s="12">
        <v>1800</v>
      </c>
      <c r="F27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Белых стекол Диско / 2 Зеркала)","Признак_ВИ_Шкафа","Основной вариант")</f>
        <v>71460</v>
      </c>
      <c r="G27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Белых стекол Диско / 2 Зеркала)","Признак_ВИ_Шкафа","Основной вариант")</f>
        <v>83750</v>
      </c>
      <c r="H27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Белых стекол Диско / 2 Зеркала)","Признак_ВИ_Шкафа","Новый вариант")</f>
        <v>75510</v>
      </c>
      <c r="I27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Белых стекол Диско / 2 Зеркала)","Признак_ВИ_Шкафа","Новый вариант")</f>
        <v>88640</v>
      </c>
    </row>
    <row r="28" spans="1:9" ht="16.2" x14ac:dyDescent="0.3">
      <c r="A28" s="379"/>
      <c r="B28" s="528"/>
      <c r="C28" s="530"/>
      <c r="D28" s="531"/>
      <c r="E28" s="12">
        <v>2000</v>
      </c>
      <c r="F28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Белых стекол Диско / 2 Зеркала)","Признак_ВИ_Шкафа","Основной вариант")</f>
        <v>75030</v>
      </c>
      <c r="G28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Белых стекол Диско / 2 Зеркала)","Признак_ВИ_Шкафа","Основной вариант")</f>
        <v>87300</v>
      </c>
      <c r="H28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Белых стекол Диско / 2 Зеркала)","Признак_ВИ_Шкафа","Новый вариант")</f>
        <v>79490</v>
      </c>
      <c r="I28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Белых стекол Диско / 2 Зеркала)","Признак_ВИ_Шкафа","Новый вариант")</f>
        <v>92620</v>
      </c>
    </row>
    <row r="29" spans="1:9" ht="16.2" x14ac:dyDescent="0.3">
      <c r="A29" s="379"/>
      <c r="B29" s="528"/>
      <c r="C29" s="530"/>
      <c r="D29" s="531" t="s">
        <v>764</v>
      </c>
      <c r="E29" s="12">
        <v>1600</v>
      </c>
      <c r="F29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Белых стекол Диско / 2 ЛДСП)","Признак_ВИ_Шкафа","Основной вариант")</f>
        <v>65270</v>
      </c>
      <c r="G29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Белых стекол Диско / 2 ЛДСП)","Признак_ВИ_Шкафа","Основной вариант")</f>
        <v>77260</v>
      </c>
      <c r="H29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Белых стекол Диско / 2 ЛДСП)","Признак_ВИ_Шкафа","Новый вариант")</f>
        <v>69210</v>
      </c>
      <c r="I29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Белых стекол Диско / 2 ЛДСП)","Признак_ВИ_Шкафа","Новый вариант")</f>
        <v>82040</v>
      </c>
    </row>
    <row r="30" spans="1:9" ht="16.2" x14ac:dyDescent="0.3">
      <c r="A30" s="379"/>
      <c r="B30" s="528"/>
      <c r="C30" s="530"/>
      <c r="D30" s="531"/>
      <c r="E30" s="12">
        <v>1800</v>
      </c>
      <c r="F30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Белых стекол Диско / 2 ЛДСП)","Признак_ВИ_Шкафа","Основной вариант")</f>
        <v>68800</v>
      </c>
      <c r="G30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Белых стекол Диско / 2 ЛДСП)","Признак_ВИ_Шкафа","Основной вариант")</f>
        <v>80790</v>
      </c>
      <c r="H30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Белых стекол Диско / 2 ЛДСП)","Признак_ВИ_Шкафа","Новый вариант")</f>
        <v>73170</v>
      </c>
      <c r="I30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Белых стекол Диско / 2 ЛДСП)","Признак_ВИ_Шкафа","Новый вариант")</f>
        <v>86000</v>
      </c>
    </row>
    <row r="31" spans="1:9" ht="16.2" x14ac:dyDescent="0.3">
      <c r="A31" s="379"/>
      <c r="B31" s="528"/>
      <c r="C31" s="530"/>
      <c r="D31" s="531"/>
      <c r="E31" s="12">
        <v>2000</v>
      </c>
      <c r="F31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Белых стекол Диско / 2 ЛДСП)","Признак_ВИ_Шкафа","Основной вариант")</f>
        <v>72370</v>
      </c>
      <c r="G31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Белых стекол Диско / 2 ЛДСП)","Признак_ВИ_Шкафа","Основной вариант")</f>
        <v>84340</v>
      </c>
      <c r="H31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Белых стекол Диско / 2 ЛДСП)","Признак_ВИ_Шкафа","Новый вариант")</f>
        <v>77150</v>
      </c>
      <c r="I31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Белых стекол Диско / 2 ЛДСП)","Признак_ВИ_Шкафа","Новый вариант")</f>
        <v>89980</v>
      </c>
    </row>
    <row r="32" spans="1:9" ht="16.2" x14ac:dyDescent="0.3">
      <c r="A32" s="379"/>
      <c r="B32" s="528"/>
      <c r="C32" s="530"/>
      <c r="D32" s="531" t="s">
        <v>765</v>
      </c>
      <c r="E32" s="12">
        <v>1600</v>
      </c>
      <c r="F32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Белых стекол Диско / 2 Черных стекла Диско)","Признак_ВИ_Шкафа","Основной вариант")</f>
        <v>73400</v>
      </c>
      <c r="G32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Белых стекол Диско / 2 Черных стекла Диско)","Признак_ВИ_Шкафа","Основной вариант")</f>
        <v>87020</v>
      </c>
      <c r="H32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Белых стекол Диско / 2 Черных стекла Диско)","Признак_ВИ_Шкафа","Новый вариант")</f>
        <v>77020</v>
      </c>
      <c r="I32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Белых стекол Диско / 2 Черных стекла Диско)","Признак_ВИ_Шкафа","Новый вариант")</f>
        <v>91480</v>
      </c>
    </row>
    <row r="33" spans="1:9" ht="16.2" x14ac:dyDescent="0.3">
      <c r="A33" s="379"/>
      <c r="B33" s="528"/>
      <c r="C33" s="530"/>
      <c r="D33" s="531"/>
      <c r="E33" s="12">
        <v>1800</v>
      </c>
      <c r="F33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Белых стекол Диско / 2 Черных стекла Диско)","Признак_ВИ_Шкафа","Основной вариант")</f>
        <v>76930</v>
      </c>
      <c r="G33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Белых стекол Диско / 2 Черных стекла Диско)","Признак_ВИ_Шкафа","Основной вариант")</f>
        <v>90550</v>
      </c>
      <c r="H33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Белых стекол Диско / 2 Черных стекла Диско)","Признак_ВИ_Шкафа","Новый вариант")</f>
        <v>80980</v>
      </c>
      <c r="I33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Белых стекол Диско / 2 Черных стекла Диско)","Признак_ВИ_Шкафа","Новый вариант")</f>
        <v>95440</v>
      </c>
    </row>
    <row r="34" spans="1:9" ht="16.2" x14ac:dyDescent="0.3">
      <c r="A34" s="379"/>
      <c r="B34" s="528"/>
      <c r="C34" s="530"/>
      <c r="D34" s="531"/>
      <c r="E34" s="12">
        <v>2000</v>
      </c>
      <c r="F34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Белых стекол Диско / 2 Черных стекла Диско)","Признак_ВИ_Шкафа","Основной вариант")</f>
        <v>80500</v>
      </c>
      <c r="G34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Белых стекол Диско / 2 Черных стекла Диско)","Признак_ВИ_Шкафа","Основной вариант")</f>
        <v>94100</v>
      </c>
      <c r="H34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Белых стекол Диско / 2 Черных стекла Диско)","Признак_ВИ_Шкафа","Новый вариант")</f>
        <v>84960</v>
      </c>
      <c r="I34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Белых стекол Диско / 2 Черных стекла Диско)","Признак_ВИ_Шкафа","Новый вариант")</f>
        <v>99420</v>
      </c>
    </row>
    <row r="35" spans="1:9" ht="16.2" x14ac:dyDescent="0.3">
      <c r="A35" s="379"/>
      <c r="B35" s="528"/>
      <c r="C35" s="530"/>
      <c r="D35" s="531" t="s">
        <v>766</v>
      </c>
      <c r="E35" s="12">
        <v>1600</v>
      </c>
      <c r="F35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Зеркал / 2 Белых стекла Диско)","Признак_ВИ_Шкафа","Основной вариант")</f>
        <v>56990</v>
      </c>
      <c r="G35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Зеркал / 2 Белых стекла Диско)","Признак_ВИ_Шкафа","Основной вариант")</f>
        <v>66620</v>
      </c>
      <c r="H35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Зеркал / 2 Белых стекла Диско)","Признак_ВИ_Шкафа","Новый вариант")</f>
        <v>60610</v>
      </c>
      <c r="I35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Зеркал / 2 Белых стекла Диско)","Признак_ВИ_Шкафа","Новый вариант")</f>
        <v>71080</v>
      </c>
    </row>
    <row r="36" spans="1:9" ht="16.2" x14ac:dyDescent="0.3">
      <c r="A36" s="379"/>
      <c r="B36" s="528"/>
      <c r="C36" s="530"/>
      <c r="D36" s="531"/>
      <c r="E36" s="12">
        <v>1800</v>
      </c>
      <c r="F36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Зеркал / 2 Белых стекла Диско)","Признак_ВИ_Шкафа","Основной вариант")</f>
        <v>60520</v>
      </c>
      <c r="G36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Зеркал / 2 Белых стекла Диско)","Признак_ВИ_Шкафа","Основной вариант")</f>
        <v>70150</v>
      </c>
      <c r="H36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Зеркал / 2 Белых стекла Диско)","Признак_ВИ_Шкафа","Новый вариант")</f>
        <v>64570</v>
      </c>
      <c r="I36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Зеркал / 2 Белых стекла Диско)","Признак_ВИ_Шкафа","Новый вариант")</f>
        <v>75040</v>
      </c>
    </row>
    <row r="37" spans="1:9" ht="16.2" x14ac:dyDescent="0.3">
      <c r="A37" s="379"/>
      <c r="B37" s="528"/>
      <c r="C37" s="530"/>
      <c r="D37" s="531"/>
      <c r="E37" s="12">
        <v>2000</v>
      </c>
      <c r="F37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Зеркал / 2 Белых стекла Диско)","Признак_ВИ_Шкафа","Основной вариант")</f>
        <v>64090</v>
      </c>
      <c r="G37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Зеркал / 2 Белых стекла Диско)","Признак_ВИ_Шкафа","Основной вариант")</f>
        <v>73700</v>
      </c>
      <c r="H37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Зеркал / 2 Белых стекла Диско)","Признак_ВИ_Шкафа","Новый вариант")</f>
        <v>68550</v>
      </c>
      <c r="I37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Зеркал / 2 Белых стекла Диско)","Признак_ВИ_Шкафа","Новый вариант")</f>
        <v>79020</v>
      </c>
    </row>
    <row r="38" spans="1:9" ht="16.2" x14ac:dyDescent="0.3">
      <c r="A38" s="379"/>
      <c r="B38" s="528"/>
      <c r="C38" s="530"/>
      <c r="D38" s="531" t="s">
        <v>767</v>
      </c>
      <c r="E38" s="12">
        <v>1600</v>
      </c>
      <c r="F38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ЛДСП / 2 Белых стекла Диско)","Признак_ВИ_Шкафа","Основной вариант")</f>
        <v>49010</v>
      </c>
      <c r="G38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ЛДСП / 2 Белых стекла Диско)","Признак_ВИ_Шкафа","Основной вариант")</f>
        <v>57740</v>
      </c>
      <c r="H38" s="31">
        <f>GETPIVOTDATA("Значение",Лист1!$B$2,"Серия","Эста","Тип_шкафа","2-х дверный купе","Ширина",1600,"Высота",2200,"Наименование шкафа на сайте","Эста 2-х дверный полоса горизонтальная (2 из 4) (6 ЛДСП / 2 Белых стекла Диско)","Признак_ВИ_Шкафа","Новый вариант")</f>
        <v>53590</v>
      </c>
      <c r="I38" s="140">
        <f>GETPIVOTDATA("Значение",Лист1!$B$2,"Серия","Эста","Тип_шкафа","2-х дверный купе","Ширина",1600,"Высота",2400,"Наименование шкафа на сайте","Эста 2-х дверный полоса горизонтальная (2 из 4) (6 ЛДСП / 2 Белых стекла Диско)","Признак_ВИ_Шкафа","Новый вариант")</f>
        <v>63160</v>
      </c>
    </row>
    <row r="39" spans="1:9" ht="16.2" x14ac:dyDescent="0.3">
      <c r="A39" s="379"/>
      <c r="B39" s="528"/>
      <c r="C39" s="530"/>
      <c r="D39" s="531"/>
      <c r="E39" s="12">
        <v>1800</v>
      </c>
      <c r="F39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ЛДСП / 2 Белых стекла Диско)","Признак_ВИ_Шкафа","Основной вариант")</f>
        <v>52540</v>
      </c>
      <c r="G39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ЛДСП / 2 Белых стекла Диско)","Признак_ВИ_Шкафа","Основной вариант")</f>
        <v>61270</v>
      </c>
      <c r="H39" s="31">
        <f>GETPIVOTDATA("Значение",Лист1!$B$2,"Серия","Эста","Тип_шкафа","2-х дверный купе","Ширина",1800,"Высота",2200,"Наименование шкафа на сайте","Эста 2-х дверный полоса горизонтальная (2 из 4) (6 ЛДСП / 2 Белых стекла Диско)","Признак_ВИ_Шкафа","Новый вариант")</f>
        <v>57550</v>
      </c>
      <c r="I39" s="140">
        <f>GETPIVOTDATA("Значение",Лист1!$B$2,"Серия","Эста","Тип_шкафа","2-х дверный купе","Ширина",1800,"Высота",2400,"Наименование шкафа на сайте","Эста 2-х дверный полоса горизонтальная (2 из 4) (6 ЛДСП / 2 Белых стекла Диско)","Признак_ВИ_Шкафа","Новый вариант")</f>
        <v>67120</v>
      </c>
    </row>
    <row r="40" spans="1:9" ht="16.8" thickBot="1" x14ac:dyDescent="0.35">
      <c r="A40" s="379"/>
      <c r="B40" s="529"/>
      <c r="C40" s="530"/>
      <c r="D40" s="531"/>
      <c r="E40" s="12">
        <v>2000</v>
      </c>
      <c r="F40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ЛДСП / 2 Белых стекла Диско)","Признак_ВИ_Шкафа","Основной вариант")</f>
        <v>56110</v>
      </c>
      <c r="G40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ЛДСП / 2 Белых стекла Диско)","Признак_ВИ_Шкафа","Основной вариант")</f>
        <v>64820</v>
      </c>
      <c r="H40" s="31">
        <f>GETPIVOTDATA("Значение",Лист1!$B$2,"Серия","Эста","Тип_шкафа","2-х дверный купе","Ширина",2000,"Высота",2200,"Наименование шкафа на сайте","Эста 2-х дверный полоса горизонтальная (2 из 4) (6 ЛДСП / 2 Белых стекла Диско)","Признак_ВИ_Шкафа","Новый вариант")</f>
        <v>61530</v>
      </c>
      <c r="I40" s="140">
        <f>GETPIVOTDATA("Значение",Лист1!$B$2,"Серия","Эста","Тип_шкафа","2-х дверный купе","Ширина",2000,"Высота",2400,"Наименование шкафа на сайте","Эста 2-х дверный полоса горизонтальная (2 из 4) (6 ЛДСП / 2 Белых стекла Диско)","Признак_ВИ_Шкафа","Новый вариант")</f>
        <v>71100</v>
      </c>
    </row>
    <row r="41" spans="1:9" ht="16.2" x14ac:dyDescent="0.3">
      <c r="A41" s="378" t="s">
        <v>1</v>
      </c>
      <c r="B41" s="527" t="s">
        <v>756</v>
      </c>
      <c r="C41" s="503"/>
      <c r="D41" s="532" t="s">
        <v>759</v>
      </c>
      <c r="E41" s="14">
        <v>2400</v>
      </c>
      <c r="F41" s="31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/ 6 Белых стекол Диско)","Признак_ВИ_Шкафа","Основной вариант")</f>
        <v>94520</v>
      </c>
      <c r="G41" s="140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/ 6 Белых стекол Диско)","Признак_ВИ_Шкафа","Основной вариант")</f>
        <v>109600</v>
      </c>
      <c r="H41" s="31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/ 6 Белых стекол Диско)","Признак_ВИ_Шкафа","Новый вариант")</f>
        <v>99630</v>
      </c>
      <c r="I41" s="140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/ 6 Белых стекол Диско)","Признак_ВИ_Шкафа","Новый вариант")</f>
        <v>115780</v>
      </c>
    </row>
    <row r="42" spans="1:9" ht="16.2" x14ac:dyDescent="0.3">
      <c r="A42" s="379"/>
      <c r="B42" s="528"/>
      <c r="C42" s="502"/>
      <c r="D42" s="525"/>
      <c r="E42" s="12">
        <v>2700</v>
      </c>
      <c r="F42" s="31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/ 6 Белых стекол Диско)","Признак_ВИ_Шкафа","Основной вариант")</f>
        <v>98080</v>
      </c>
      <c r="G42" s="140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/ 6 Белых стекол Диско)","Признак_ВИ_Шкафа","Основной вариант")</f>
        <v>113160</v>
      </c>
      <c r="H42" s="31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/ 6 Белых стекол Диско)","Признак_ВИ_Шкафа","Новый вариант")</f>
        <v>103610</v>
      </c>
      <c r="I42" s="140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/ 6 Белых стекол Диско)","Признак_ВИ_Шкафа","Новый вариант")</f>
        <v>119750</v>
      </c>
    </row>
    <row r="43" spans="1:9" ht="16.2" x14ac:dyDescent="0.3">
      <c r="A43" s="379"/>
      <c r="B43" s="528"/>
      <c r="C43" s="502"/>
      <c r="D43" s="533"/>
      <c r="E43" s="12">
        <v>3000</v>
      </c>
      <c r="F43" s="31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/ 6 Белых стекол Диско)","Признак_ВИ_Шкафа","Основной вариант")</f>
        <v>101620</v>
      </c>
      <c r="G43" s="140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/ 6 Белых стекол Диско)","Признак_ВИ_Шкафа","Основной вариант")</f>
        <v>118470</v>
      </c>
      <c r="H43" s="31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/ 6 Белых стекол Диско)","Признак_ВИ_Шкафа","Новый вариант")</f>
        <v>107580</v>
      </c>
      <c r="I43" s="140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/ 6 Белых стекол Диско)","Признак_ВИ_Шкафа","Новый вариант")</f>
        <v>125710</v>
      </c>
    </row>
    <row r="44" spans="1:9" ht="16.2" x14ac:dyDescent="0.3">
      <c r="A44" s="379"/>
      <c r="B44" s="528"/>
      <c r="C44" s="502"/>
      <c r="D44" s="534" t="s">
        <v>768</v>
      </c>
      <c r="E44" s="12">
        <v>2400</v>
      </c>
      <c r="F44" s="31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Диско / 6 Зеркал)","Признак_ВИ_Шкафа","Основной вариант")</f>
        <v>91010</v>
      </c>
      <c r="G44" s="140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Диско / 6 Зеркал)","Признак_ВИ_Шкафа","Основной вариант")</f>
        <v>105670</v>
      </c>
      <c r="H44" s="31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Диско / 6 Зеркал)","Признак_ВИ_Шкафа","Новый вариант")</f>
        <v>96120</v>
      </c>
      <c r="I44" s="140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Диско / 6 Зеркал)","Признак_ВИ_Шкафа","Новый вариант")</f>
        <v>111850</v>
      </c>
    </row>
    <row r="45" spans="1:9" ht="16.2" x14ac:dyDescent="0.3">
      <c r="A45" s="379"/>
      <c r="B45" s="528"/>
      <c r="C45" s="502"/>
      <c r="D45" s="525"/>
      <c r="E45" s="12">
        <v>2700</v>
      </c>
      <c r="F45" s="31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Диско / 6 Зеркал)","Признак_ВИ_Шкафа","Основной вариант")</f>
        <v>94570</v>
      </c>
      <c r="G45" s="140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Диско / 6 Зеркал)","Признак_ВИ_Шкафа","Основной вариант")</f>
        <v>109230</v>
      </c>
      <c r="H45" s="31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Диско / 6 Зеркал)","Признак_ВИ_Шкафа","Новый вариант")</f>
        <v>100100</v>
      </c>
      <c r="I45" s="140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Диско / 6 Зеркал)","Признак_ВИ_Шкафа","Новый вариант")</f>
        <v>115820</v>
      </c>
    </row>
    <row r="46" spans="1:9" ht="16.2" x14ac:dyDescent="0.3">
      <c r="A46" s="379"/>
      <c r="B46" s="528"/>
      <c r="C46" s="502"/>
      <c r="D46" s="533"/>
      <c r="E46" s="12">
        <v>3000</v>
      </c>
      <c r="F46" s="31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Диско / 6 Зеркал)","Признак_ВИ_Шкафа","Основной вариант")</f>
        <v>98110</v>
      </c>
      <c r="G46" s="140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Диско / 6 Зеркал)","Признак_ВИ_Шкафа","Основной вариант")</f>
        <v>114540</v>
      </c>
      <c r="H46" s="31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Диско / 6 Зеркал)","Признак_ВИ_Шкафа","Новый вариант")</f>
        <v>104070</v>
      </c>
      <c r="I46" s="140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Диско / 6 Зеркал)","Признак_ВИ_Шкафа","Новый вариант")</f>
        <v>121780</v>
      </c>
    </row>
    <row r="47" spans="1:9" ht="16.2" x14ac:dyDescent="0.3">
      <c r="A47" s="379"/>
      <c r="B47" s="528"/>
      <c r="C47" s="502"/>
      <c r="D47" s="534" t="s">
        <v>769</v>
      </c>
      <c r="E47" s="12">
        <v>2400</v>
      </c>
      <c r="F47" s="31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Диско / 6 ЛДСП)","Признак_ВИ_Шкафа","Основной вариант")</f>
        <v>83030</v>
      </c>
      <c r="G47" s="140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Диско / 6 ЛДСП)","Признак_ВИ_Шкафа","Основной вариант")</f>
        <v>96790</v>
      </c>
      <c r="H47" s="31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Диско / 6 ЛДСП)","Признак_ВИ_Шкафа","Новый вариант")</f>
        <v>89100</v>
      </c>
      <c r="I47" s="140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Диско / 6 ЛДСП)","Признак_ВИ_Шкафа","Новый вариант")</f>
        <v>103930</v>
      </c>
    </row>
    <row r="48" spans="1:9" ht="16.2" x14ac:dyDescent="0.3">
      <c r="A48" s="379"/>
      <c r="B48" s="528"/>
      <c r="C48" s="502"/>
      <c r="D48" s="525"/>
      <c r="E48" s="12">
        <v>2700</v>
      </c>
      <c r="F48" s="31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Диско / 6 ЛДСП)","Признак_ВИ_Шкафа","Основной вариант")</f>
        <v>86590</v>
      </c>
      <c r="G48" s="140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Диско / 6 ЛДСП)","Признак_ВИ_Шкафа","Основной вариант")</f>
        <v>100350</v>
      </c>
      <c r="H48" s="31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Диско / 6 ЛДСП)","Признак_ВИ_Шкафа","Новый вариант")</f>
        <v>93080</v>
      </c>
      <c r="I48" s="140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Диско / 6 ЛДСП)","Признак_ВИ_Шкафа","Новый вариант")</f>
        <v>107900</v>
      </c>
    </row>
    <row r="49" spans="1:9" ht="16.2" x14ac:dyDescent="0.3">
      <c r="A49" s="379"/>
      <c r="B49" s="528"/>
      <c r="C49" s="502"/>
      <c r="D49" s="533"/>
      <c r="E49" s="12">
        <v>3000</v>
      </c>
      <c r="F49" s="31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Диско / 6 ЛДСП)","Признак_ВИ_Шкафа","Основной вариант")</f>
        <v>90130</v>
      </c>
      <c r="G49" s="140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Диско / 6 ЛДСП)","Признак_ВИ_Шкафа","Основной вариант")</f>
        <v>105660</v>
      </c>
      <c r="H49" s="31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Диско / 6 ЛДСП)","Признак_ВИ_Шкафа","Новый вариант")</f>
        <v>97050</v>
      </c>
      <c r="I49" s="140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Диско / 6 ЛДСП)","Признак_ВИ_Шкафа","Новый вариант")</f>
        <v>113860</v>
      </c>
    </row>
    <row r="50" spans="1:9" ht="16.2" x14ac:dyDescent="0.3">
      <c r="A50" s="379"/>
      <c r="B50" s="528"/>
      <c r="C50" s="502"/>
      <c r="D50" s="534" t="s">
        <v>770</v>
      </c>
      <c r="E50" s="12">
        <v>2400</v>
      </c>
      <c r="F50" s="31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Диско / 6 Черных стекол Диско)","Признак_ВИ_Шкафа","Основной вариант")</f>
        <v>107420</v>
      </c>
      <c r="G50" s="140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Диско / 6 Черных стекол Диско)","Признак_ВИ_Шкафа","Основной вариант")</f>
        <v>126070</v>
      </c>
      <c r="H50" s="31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Диско / 6 Черных стекол Диско)","Признак_ВИ_Шкафа","Новый вариант")</f>
        <v>112530</v>
      </c>
      <c r="I50" s="140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Диско / 6 Черных стекол Диско)","Признак_ВИ_Шкафа","Новый вариант")</f>
        <v>132250</v>
      </c>
    </row>
    <row r="51" spans="1:9" ht="16.2" x14ac:dyDescent="0.3">
      <c r="A51" s="379"/>
      <c r="B51" s="528"/>
      <c r="C51" s="502"/>
      <c r="D51" s="525"/>
      <c r="E51" s="12">
        <v>2700</v>
      </c>
      <c r="F51" s="31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Диско / 6 Черных стекол Диско)","Признак_ВИ_Шкафа","Основной вариант")</f>
        <v>110980</v>
      </c>
      <c r="G51" s="140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Диско / 6 Черных стекол Диско)","Признак_ВИ_Шкафа","Основной вариант")</f>
        <v>129630</v>
      </c>
      <c r="H51" s="31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Диско / 6 Черных стекол Диско)","Признак_ВИ_Шкафа","Новый вариант")</f>
        <v>116510</v>
      </c>
      <c r="I51" s="140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Диско / 6 Черных стекол Диско)","Признак_ВИ_Шкафа","Новый вариант")</f>
        <v>136220</v>
      </c>
    </row>
    <row r="52" spans="1:9" ht="16.2" x14ac:dyDescent="0.3">
      <c r="A52" s="379"/>
      <c r="B52" s="528"/>
      <c r="C52" s="502"/>
      <c r="D52" s="533"/>
      <c r="E52" s="12">
        <v>3000</v>
      </c>
      <c r="F52" s="31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Диско / 6 Черных стекол Диско)","Признак_ВИ_Шкафа","Основной вариант")</f>
        <v>114520</v>
      </c>
      <c r="G52" s="140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Диско / 6 Черных стекол Диско)","Признак_ВИ_Шкафа","Основной вариант")</f>
        <v>134940</v>
      </c>
      <c r="H52" s="31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Диско / 6 Черных стекол Диско)","Признак_ВИ_Шкафа","Новый вариант")</f>
        <v>120480</v>
      </c>
      <c r="I52" s="140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Диско / 6 Черных стекол Диско)","Признак_ВИ_Шкафа","Новый вариант")</f>
        <v>142180</v>
      </c>
    </row>
    <row r="53" spans="1:9" ht="16.2" x14ac:dyDescent="0.3">
      <c r="A53" s="379"/>
      <c r="B53" s="528"/>
      <c r="C53" s="502"/>
      <c r="D53" s="531" t="s">
        <v>771</v>
      </c>
      <c r="E53" s="12">
        <v>2400</v>
      </c>
      <c r="F53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/ 8 Белых стекол Диско)","Признак_ВИ_Шкафа","Основной вариант")</f>
        <v>98820</v>
      </c>
      <c r="G53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/ 8 Белых стекол Диско)","Признак_ВИ_Шкафа","Основной вариант")</f>
        <v>115090</v>
      </c>
      <c r="H53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/ 8 Белых стекол Диско)","Признак_ВИ_Шкафа","Новый вариант")</f>
        <v>103930</v>
      </c>
      <c r="I53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/ 8 Белых стекол Диско)","Признак_ВИ_Шкафа","Новый вариант")</f>
        <v>121270</v>
      </c>
    </row>
    <row r="54" spans="1:9" ht="16.2" x14ac:dyDescent="0.3">
      <c r="A54" s="379"/>
      <c r="B54" s="528"/>
      <c r="C54" s="502"/>
      <c r="D54" s="531"/>
      <c r="E54" s="12">
        <v>2700</v>
      </c>
      <c r="F54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/ 8 Белых стекол Диско)","Признак_ВИ_Шкафа","Основной вариант")</f>
        <v>102380</v>
      </c>
      <c r="G54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/ 8 Белых стекол Диско)","Признак_ВИ_Шкафа","Основной вариант")</f>
        <v>118650</v>
      </c>
      <c r="H54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/ 8 Белых стекол Диско)","Признак_ВИ_Шкафа","Новый вариант")</f>
        <v>107910</v>
      </c>
      <c r="I54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/ 8 Белых стекол Диско)","Признак_ВИ_Шкафа","Новый вариант")</f>
        <v>125240</v>
      </c>
    </row>
    <row r="55" spans="1:9" ht="16.2" x14ac:dyDescent="0.3">
      <c r="A55" s="379"/>
      <c r="B55" s="528"/>
      <c r="C55" s="502"/>
      <c r="D55" s="531"/>
      <c r="E55" s="12">
        <v>3000</v>
      </c>
      <c r="F55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/ 8 Белых стекол Диско)","Признак_ВИ_Шкафа","Основной вариант")</f>
        <v>105920</v>
      </c>
      <c r="G55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/ 8 Белых стекол Диско)","Признак_ВИ_Шкафа","Основной вариант")</f>
        <v>123960</v>
      </c>
      <c r="H55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/ 8 Белых стекол Диско)","Признак_ВИ_Шкафа","Новый вариант")</f>
        <v>111880</v>
      </c>
      <c r="I55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/ 8 Белых стекол Диско)","Признак_ВИ_Шкафа","Новый вариант")</f>
        <v>131200</v>
      </c>
    </row>
    <row r="56" spans="1:9" ht="16.2" x14ac:dyDescent="0.3">
      <c r="A56" s="379"/>
      <c r="B56" s="528"/>
      <c r="C56" s="502"/>
      <c r="D56" s="531" t="s">
        <v>772</v>
      </c>
      <c r="E56" s="12">
        <v>2400</v>
      </c>
      <c r="F56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Диско / 8 Белых стекол)","Признак_ВИ_Шкафа","Основной вариант")</f>
        <v>90220</v>
      </c>
      <c r="G56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Диско / 8 Белых стекол)","Признак_ВИ_Шкафа","Основной вариант")</f>
        <v>104110</v>
      </c>
      <c r="H56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Диско / 8 Белых стекол)","Признак_ВИ_Шкафа","Новый вариант")</f>
        <v>95330</v>
      </c>
      <c r="I56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Диско / 8 Белых стекол)","Признак_ВИ_Шкафа","Новый вариант")</f>
        <v>110290</v>
      </c>
    </row>
    <row r="57" spans="1:9" ht="16.2" x14ac:dyDescent="0.3">
      <c r="A57" s="379"/>
      <c r="B57" s="528"/>
      <c r="C57" s="502"/>
      <c r="D57" s="531"/>
      <c r="E57" s="12">
        <v>2700</v>
      </c>
      <c r="F57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Диско / 8 Белых стекол)","Признак_ВИ_Шкафа","Основной вариант")</f>
        <v>93780</v>
      </c>
      <c r="G57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Диско / 8 Белых стекол)","Признак_ВИ_Шкафа","Основной вариант")</f>
        <v>107670</v>
      </c>
      <c r="H57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Диско / 8 Белых стекол)","Признак_ВИ_Шкафа","Новый вариант")</f>
        <v>99310</v>
      </c>
      <c r="I57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Диско / 8 Белых стекол)","Признак_ВИ_Шкафа","Новый вариант")</f>
        <v>114260</v>
      </c>
    </row>
    <row r="58" spans="1:9" ht="16.2" x14ac:dyDescent="0.3">
      <c r="A58" s="379"/>
      <c r="B58" s="528"/>
      <c r="C58" s="502"/>
      <c r="D58" s="531"/>
      <c r="E58" s="12">
        <v>3000</v>
      </c>
      <c r="F58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Диско / 8 Белых стекол)","Признак_ВИ_Шкафа","Основной вариант")</f>
        <v>97320</v>
      </c>
      <c r="G58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Диско / 8 Белых стекол)","Признак_ВИ_Шкафа","Основной вариант")</f>
        <v>112980</v>
      </c>
      <c r="H58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Диско / 8 Белых стекол)","Признак_ВИ_Шкафа","Новый вариант")</f>
        <v>103280</v>
      </c>
      <c r="I58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Диско / 8 Белых стекол)","Признак_ВИ_Шкафа","Новый вариант")</f>
        <v>120220</v>
      </c>
    </row>
    <row r="59" spans="1:9" ht="16.2" x14ac:dyDescent="0.3">
      <c r="A59" s="379"/>
      <c r="B59" s="528"/>
      <c r="C59" s="502"/>
      <c r="D59" s="531" t="s">
        <v>773</v>
      </c>
      <c r="E59" s="12">
        <v>2400</v>
      </c>
      <c r="F59" s="31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/ 6 Белых стекол Диско)","Признак_ВИ_Шкафа","Основной вариант")</f>
        <v>94520</v>
      </c>
      <c r="G59" s="140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/ 6 Белых стекол Диско)","Признак_ВИ_Шкафа","Основной вариант")</f>
        <v>109600</v>
      </c>
      <c r="H59" s="31">
        <f>GETPIVOTDATA("Значение",Лист1!$B$2,"Серия","Эста","Тип_шкафа","3-х дверный купе","Ширина",2400,"Высота",2200,"Наименование шкафа на сайте","Эста 3-х дверный Комби (6 Белых стекол / 6 Белых стекол Диско)","Признак_ВИ_Шкафа","Новый вариант")</f>
        <v>99630</v>
      </c>
      <c r="I59" s="140">
        <f>GETPIVOTDATA("Значение",Лист1!$B$2,"Серия","Эста","Тип_шкафа","3-х дверный купе","Ширина",2400,"Высота",2400,"Наименование шкафа на сайте","Эста 3-х дверный Комби (6 Белых стекол / 6 Белых стекол Диско)","Признак_ВИ_Шкафа","Новый вариант")</f>
        <v>115780</v>
      </c>
    </row>
    <row r="60" spans="1:9" ht="16.2" x14ac:dyDescent="0.3">
      <c r="A60" s="379"/>
      <c r="B60" s="528"/>
      <c r="C60" s="502"/>
      <c r="D60" s="531"/>
      <c r="E60" s="12">
        <v>2700</v>
      </c>
      <c r="F60" s="31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/ 6 Белых стекол Диско)","Признак_ВИ_Шкафа","Основной вариант")</f>
        <v>98080</v>
      </c>
      <c r="G60" s="140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/ 6 Белых стекол Диско)","Признак_ВИ_Шкафа","Основной вариант")</f>
        <v>113160</v>
      </c>
      <c r="H60" s="31">
        <f>GETPIVOTDATA("Значение",Лист1!$B$2,"Серия","Эста","Тип_шкафа","3-х дверный купе","Ширина",2700,"Высота",2200,"Наименование шкафа на сайте","Эста 3-х дверный Комби (6 Белых стекол / 6 Белых стекол Диско)","Признак_ВИ_Шкафа","Новый вариант")</f>
        <v>103610</v>
      </c>
      <c r="I60" s="140">
        <f>GETPIVOTDATA("Значение",Лист1!$B$2,"Серия","Эста","Тип_шкафа","3-х дверный купе","Ширина",2700,"Высота",2400,"Наименование шкафа на сайте","Эста 3-х дверный Комби (6 Белых стекол / 6 Белых стекол Диско)","Признак_ВИ_Шкафа","Новый вариант")</f>
        <v>119750</v>
      </c>
    </row>
    <row r="61" spans="1:9" ht="16.2" x14ac:dyDescent="0.3">
      <c r="A61" s="379"/>
      <c r="B61" s="528"/>
      <c r="C61" s="502"/>
      <c r="D61" s="531"/>
      <c r="E61" s="12">
        <v>3000</v>
      </c>
      <c r="F61" s="31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/ 6 Белых стекол Диско)","Признак_ВИ_Шкафа","Основной вариант")</f>
        <v>101620</v>
      </c>
      <c r="G61" s="140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/ 6 Белых стекол Диско)","Признак_ВИ_Шкафа","Основной вариант")</f>
        <v>118470</v>
      </c>
      <c r="H61" s="31">
        <f>GETPIVOTDATA("Значение",Лист1!$B$2,"Серия","Эста","Тип_шкафа","3-х дверный купе","Ширина",3000,"Высота",2200,"Наименование шкафа на сайте","Эста 3-х дверный Комби (6 Белых стекол / 6 Белых стекол Диско)","Признак_ВИ_Шкафа","Новый вариант")</f>
        <v>107580</v>
      </c>
      <c r="I61" s="140">
        <f>GETPIVOTDATA("Значение",Лист1!$B$2,"Серия","Эста","Тип_шкафа","3-х дверный купе","Ширина",3000,"Высота",2400,"Наименование шкафа на сайте","Эста 3-х дверный Комби (6 Белых стекол / 6 Белых стекол Диско)","Признак_ВИ_Шкафа","Новый вариант")</f>
        <v>125710</v>
      </c>
    </row>
    <row r="62" spans="1:9" ht="16.2" x14ac:dyDescent="0.3">
      <c r="A62" s="379"/>
      <c r="B62" s="528"/>
      <c r="C62" s="502"/>
      <c r="D62" s="531" t="s">
        <v>773</v>
      </c>
      <c r="E62" s="12">
        <v>2400</v>
      </c>
      <c r="F62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Диско / 8 Зеркал)","Признак_ВИ_Шкафа","Основной вариант")</f>
        <v>85540</v>
      </c>
      <c r="G62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Диско / 8 Зеркал)","Признак_ВИ_Шкафа","Основной вариант")</f>
        <v>98870</v>
      </c>
      <c r="H62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Диско / 8 Зеркал)","Признак_ВИ_Шкафа","Новый вариант")</f>
        <v>90650</v>
      </c>
      <c r="I62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Диско / 8 Зеркал)","Признак_ВИ_Шкафа","Новый вариант")</f>
        <v>105050</v>
      </c>
    </row>
    <row r="63" spans="1:9" ht="16.2" x14ac:dyDescent="0.3">
      <c r="A63" s="379"/>
      <c r="B63" s="528"/>
      <c r="C63" s="502"/>
      <c r="D63" s="531"/>
      <c r="E63" s="12">
        <v>2700</v>
      </c>
      <c r="F63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Диско / 8 Зеркал)","Признак_ВИ_Шкафа","Основной вариант")</f>
        <v>89100</v>
      </c>
      <c r="G63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Диско / 8 Зеркал)","Признак_ВИ_Шкафа","Основной вариант")</f>
        <v>102430</v>
      </c>
      <c r="H63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Диско / 8 Зеркал)","Признак_ВИ_Шкафа","Новый вариант")</f>
        <v>94630</v>
      </c>
      <c r="I63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Диско / 8 Зеркал)","Признак_ВИ_Шкафа","Новый вариант")</f>
        <v>109020</v>
      </c>
    </row>
    <row r="64" spans="1:9" ht="16.2" x14ac:dyDescent="0.3">
      <c r="A64" s="379"/>
      <c r="B64" s="528"/>
      <c r="C64" s="502"/>
      <c r="D64" s="531"/>
      <c r="E64" s="12">
        <v>3000</v>
      </c>
      <c r="F64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Диско / 8 Зеркал)","Признак_ВИ_Шкафа","Основной вариант")</f>
        <v>92640</v>
      </c>
      <c r="G64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Диско / 8 Зеркал)","Признак_ВИ_Шкафа","Основной вариант")</f>
        <v>107740</v>
      </c>
      <c r="H64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Диско / 8 Зеркал)","Признак_ВИ_Шкафа","Новый вариант")</f>
        <v>98600</v>
      </c>
      <c r="I64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Диско / 8 Зеркал)","Признак_ВИ_Шкафа","Новый вариант")</f>
        <v>114980</v>
      </c>
    </row>
    <row r="65" spans="1:9" ht="16.2" x14ac:dyDescent="0.3">
      <c r="A65" s="379"/>
      <c r="B65" s="528"/>
      <c r="C65" s="502"/>
      <c r="D65" s="531" t="s">
        <v>774</v>
      </c>
      <c r="E65" s="12">
        <v>2400</v>
      </c>
      <c r="F65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Диско / 8 Зеркал бронза Квадрат)","Признак_ВИ_Шкафа","Основной вариант")</f>
        <v>107420</v>
      </c>
      <c r="G65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Диско / 8 Зеркал бронза Квадрат)","Признак_ВИ_Шкафа","Основной вариант")</f>
        <v>126070</v>
      </c>
      <c r="H65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Диско / 8 Зеркал бронза Квадрат)","Признак_ВИ_Шкафа","Новый вариант")</f>
        <v>112530</v>
      </c>
      <c r="I65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Диско / 8 Зеркал бронза Квадрат)","Признак_ВИ_Шкафа","Новый вариант")</f>
        <v>132250</v>
      </c>
    </row>
    <row r="66" spans="1:9" ht="16.2" x14ac:dyDescent="0.3">
      <c r="A66" s="379"/>
      <c r="B66" s="528"/>
      <c r="C66" s="502"/>
      <c r="D66" s="531"/>
      <c r="E66" s="12">
        <v>2700</v>
      </c>
      <c r="F66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Диско / 8 Зеркал бронза Квадрат)","Признак_ВИ_Шкафа","Основной вариант")</f>
        <v>110980</v>
      </c>
      <c r="G66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Диско / 8 Зеркал бронза Квадрат)","Признак_ВИ_Шкафа","Основной вариант")</f>
        <v>129630</v>
      </c>
      <c r="H66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Диско / 8 Зеркал бронза Квадрат)","Признак_ВИ_Шкафа","Новый вариант")</f>
        <v>116510</v>
      </c>
      <c r="I66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Диско / 8 Зеркал бронза Квадрат)","Признак_ВИ_Шкафа","Новый вариант")</f>
        <v>136220</v>
      </c>
    </row>
    <row r="67" spans="1:9" ht="16.2" x14ac:dyDescent="0.3">
      <c r="A67" s="379"/>
      <c r="B67" s="528"/>
      <c r="C67" s="502"/>
      <c r="D67" s="531"/>
      <c r="E67" s="12">
        <v>3000</v>
      </c>
      <c r="F67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Диско / 8 Зеркал бронза Квадрат)","Признак_ВИ_Шкафа","Основной вариант")</f>
        <v>114520</v>
      </c>
      <c r="G67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Диско / 8 Зеркал бронза Квадрат)","Признак_ВИ_Шкафа","Основной вариант")</f>
        <v>134940</v>
      </c>
      <c r="H67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Диско / 8 Зеркал бронза Квадрат)","Признак_ВИ_Шкафа","Новый вариант")</f>
        <v>120480</v>
      </c>
      <c r="I67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Диско / 8 Зеркал бронза Квадрат)","Признак_ВИ_Шкафа","Новый вариант")</f>
        <v>142180</v>
      </c>
    </row>
    <row r="68" spans="1:9" ht="16.2" x14ac:dyDescent="0.3">
      <c r="A68" s="379"/>
      <c r="B68" s="528"/>
      <c r="C68" s="502"/>
      <c r="D68" s="531" t="s">
        <v>775</v>
      </c>
      <c r="E68" s="12">
        <v>2400</v>
      </c>
      <c r="F68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Диско / 8 ЛДСП)","Признак_ВИ_Шкафа","Основной вариант")</f>
        <v>74900</v>
      </c>
      <c r="G68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Диско / 8 ЛДСП)","Признак_ВИ_Шкафа","Основной вариант")</f>
        <v>87030</v>
      </c>
      <c r="H68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Диско / 8 ЛДСП)","Признак_ВИ_Шкафа","Новый вариант")</f>
        <v>81290</v>
      </c>
      <c r="I68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Диско / 8 ЛДСП)","Признак_ВИ_Шкафа","Новый вариант")</f>
        <v>94490</v>
      </c>
    </row>
    <row r="69" spans="1:9" ht="16.2" x14ac:dyDescent="0.3">
      <c r="A69" s="379"/>
      <c r="B69" s="528"/>
      <c r="C69" s="502"/>
      <c r="D69" s="531"/>
      <c r="E69" s="12">
        <v>2700</v>
      </c>
      <c r="F69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Диско / 8 ЛДСП)","Признак_ВИ_Шкафа","Основной вариант")</f>
        <v>78460</v>
      </c>
      <c r="G69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Диско / 8 ЛДСП)","Признак_ВИ_Шкафа","Основной вариант")</f>
        <v>90590</v>
      </c>
      <c r="H69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Диско / 8 ЛДСП)","Признак_ВИ_Шкафа","Новый вариант")</f>
        <v>85270</v>
      </c>
      <c r="I69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Диско / 8 ЛДСП)","Признак_ВИ_Шкафа","Новый вариант")</f>
        <v>98460</v>
      </c>
    </row>
    <row r="70" spans="1:9" ht="16.2" x14ac:dyDescent="0.3">
      <c r="A70" s="379"/>
      <c r="B70" s="528"/>
      <c r="C70" s="502"/>
      <c r="D70" s="531"/>
      <c r="E70" s="12">
        <v>3000</v>
      </c>
      <c r="F70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Диско / 8 ЛДСП)","Признак_ВИ_Шкафа","Основной вариант")</f>
        <v>82000</v>
      </c>
      <c r="G70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Диско / 8 ЛДСП)","Признак_ВИ_Шкафа","Основной вариант")</f>
        <v>95900</v>
      </c>
      <c r="H70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Диско / 8 ЛДСП)","Признак_ВИ_Шкафа","Новый вариант")</f>
        <v>89240</v>
      </c>
      <c r="I70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Диско / 8 ЛДСП)","Признак_ВИ_Шкафа","Новый вариант")</f>
        <v>104420</v>
      </c>
    </row>
    <row r="71" spans="1:9" ht="16.2" x14ac:dyDescent="0.3">
      <c r="A71" s="379"/>
      <c r="B71" s="528"/>
      <c r="C71" s="502"/>
      <c r="D71" s="531" t="s">
        <v>776</v>
      </c>
      <c r="E71" s="12">
        <v>2400</v>
      </c>
      <c r="F71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Диско / 8 Черных стекол Диско)","Признак_ВИ_Шкафа","Основной вариант")</f>
        <v>107420</v>
      </c>
      <c r="G71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Диско / 8 Черных стекол Диско)","Признак_ВИ_Шкафа","Основной вариант")</f>
        <v>126070</v>
      </c>
      <c r="H71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Белых стекла Диско / 8 Черных стекол Диско)","Признак_ВИ_Шкафа","Новый вариант")</f>
        <v>112530</v>
      </c>
      <c r="I71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Белых стекла Диско / 8 Черных стекол Диско)","Признак_ВИ_Шкафа","Новый вариант")</f>
        <v>132250</v>
      </c>
    </row>
    <row r="72" spans="1:9" ht="16.2" x14ac:dyDescent="0.3">
      <c r="A72" s="379"/>
      <c r="B72" s="528"/>
      <c r="C72" s="502"/>
      <c r="D72" s="531"/>
      <c r="E72" s="12">
        <v>2700</v>
      </c>
      <c r="F72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Диско / 8 Черных стекол Диско)","Признак_ВИ_Шкафа","Основной вариант")</f>
        <v>110980</v>
      </c>
      <c r="G72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Диско / 8 Черных стекол Диско)","Признак_ВИ_Шкафа","Основной вариант")</f>
        <v>129630</v>
      </c>
      <c r="H72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Белых стекла Диско / 8 Черных стекол Диско)","Признак_ВИ_Шкафа","Новый вариант")</f>
        <v>116510</v>
      </c>
      <c r="I72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Белых стекла Диско / 8 Черных стекол Диско)","Признак_ВИ_Шкафа","Новый вариант")</f>
        <v>136220</v>
      </c>
    </row>
    <row r="73" spans="1:9" ht="16.2" x14ac:dyDescent="0.3">
      <c r="A73" s="379"/>
      <c r="B73" s="528"/>
      <c r="C73" s="502"/>
      <c r="D73" s="531"/>
      <c r="E73" s="12">
        <v>3000</v>
      </c>
      <c r="F73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Диско / 8 Черных стекол Диско)","Признак_ВИ_Шкафа","Основной вариант")</f>
        <v>114520</v>
      </c>
      <c r="G73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Диско / 8 Черных стекол Диско)","Признак_ВИ_Шкафа","Основной вариант")</f>
        <v>134940</v>
      </c>
      <c r="H73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Белых стекла Диско / 8 Черных стекол Диско)","Признак_ВИ_Шкафа","Новый вариант")</f>
        <v>120480</v>
      </c>
      <c r="I73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Белых стекла Диско / 8 Черных стекол Диско)","Признак_ВИ_Шкафа","Новый вариант")</f>
        <v>142180</v>
      </c>
    </row>
    <row r="74" spans="1:9" ht="16.2" x14ac:dyDescent="0.3">
      <c r="A74" s="379"/>
      <c r="B74" s="528"/>
      <c r="C74" s="502"/>
      <c r="D74" s="531" t="s">
        <v>777</v>
      </c>
      <c r="E74" s="12">
        <v>2400</v>
      </c>
      <c r="F74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Зеркала / 8 Белых стекол Диско)","Признак_ВИ_Шкафа","Основной вариант")</f>
        <v>96480</v>
      </c>
      <c r="G74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Зеркала / 8 Белых стекол Диско)","Признак_ВИ_Шкафа","Основной вариант")</f>
        <v>112470</v>
      </c>
      <c r="H74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Зеркала / 8 Белых стекол Диско)","Признак_ВИ_Шкафа","Новый вариант")</f>
        <v>101590</v>
      </c>
      <c r="I74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Зеркала / 8 Белых стекол Диско)","Признак_ВИ_Шкафа","Новый вариант")</f>
        <v>118650</v>
      </c>
    </row>
    <row r="75" spans="1:9" ht="16.2" x14ac:dyDescent="0.3">
      <c r="A75" s="379"/>
      <c r="B75" s="528"/>
      <c r="C75" s="502"/>
      <c r="D75" s="531"/>
      <c r="E75" s="12">
        <v>2700</v>
      </c>
      <c r="F75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Зеркала / 8 Белых стекол Диско)","Признак_ВИ_Шкафа","Основной вариант")</f>
        <v>100040</v>
      </c>
      <c r="G75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Зеркала / 8 Белых стекол Диско)","Признак_ВИ_Шкафа","Основной вариант")</f>
        <v>116030</v>
      </c>
      <c r="H75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Зеркала / 8 Белых стекол Диско)","Признак_ВИ_Шкафа","Новый вариант")</f>
        <v>105570</v>
      </c>
      <c r="I75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Зеркала / 8 Белых стекол Диско)","Признак_ВИ_Шкафа","Новый вариант")</f>
        <v>122620</v>
      </c>
    </row>
    <row r="76" spans="1:9" ht="16.2" x14ac:dyDescent="0.3">
      <c r="A76" s="379"/>
      <c r="B76" s="528"/>
      <c r="C76" s="502"/>
      <c r="D76" s="531"/>
      <c r="E76" s="12">
        <v>3000</v>
      </c>
      <c r="F76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Зеркала / 8 Белых стекол Диско)","Признак_ВИ_Шкафа","Основной вариант")</f>
        <v>103580</v>
      </c>
      <c r="G76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Зеркала / 8 Белых стекол Диско)","Признак_ВИ_Шкафа","Основной вариант")</f>
        <v>121340</v>
      </c>
      <c r="H76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Зеркала / 8 Белых стекол Диско)","Признак_ВИ_Шкафа","Новый вариант")</f>
        <v>109540</v>
      </c>
      <c r="I76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Зеркала / 8 Белых стекол Диско)","Признак_ВИ_Шкафа","Новый вариант")</f>
        <v>128580</v>
      </c>
    </row>
    <row r="77" spans="1:9" ht="16.2" x14ac:dyDescent="0.3">
      <c r="A77" s="379"/>
      <c r="B77" s="528"/>
      <c r="C77" s="502"/>
      <c r="D77" s="531" t="s">
        <v>778</v>
      </c>
      <c r="E77" s="12">
        <v>2400</v>
      </c>
      <c r="F77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ЛДСП / 8 Белых стекол Диско)","Признак_ВИ_Шкафа","Основной вариант")</f>
        <v>91160</v>
      </c>
      <c r="G77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ЛДСП / 8 Белых стекол Диско)","Признак_ВИ_Шкафа","Основной вариант")</f>
        <v>106550</v>
      </c>
      <c r="H77" s="31">
        <f>GETPIVOTDATA("Значение",Лист1!$B$2,"Серия","Эста","Тип_шкафа","3-х дверный купе","Ширина",2400,"Высота",2200,"Наименование шкафа на сайте","Эста 3-х дверный Медиум (4 посредине) (4 ЛДСП / 8 Белых стекол Диско)","Признак_ВИ_Шкафа","Новый вариант")</f>
        <v>96910</v>
      </c>
      <c r="I77" s="140">
        <f>GETPIVOTDATA("Значение",Лист1!$B$2,"Серия","Эста","Тип_шкафа","3-х дверный купе","Ширина",2400,"Высота",2400,"Наименование шкафа на сайте","Эста 3-х дверный Медиум (4 посредине) (4 ЛДСП / 8 Белых стекол Диско)","Признак_ВИ_Шкафа","Новый вариант")</f>
        <v>113370</v>
      </c>
    </row>
    <row r="78" spans="1:9" ht="16.2" x14ac:dyDescent="0.3">
      <c r="A78" s="379"/>
      <c r="B78" s="528"/>
      <c r="C78" s="502"/>
      <c r="D78" s="531"/>
      <c r="E78" s="12">
        <v>2700</v>
      </c>
      <c r="F78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ЛДСП / 8 Белых стекол Диско)","Признак_ВИ_Шкафа","Основной вариант")</f>
        <v>94720</v>
      </c>
      <c r="G78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ЛДСП / 8 Белых стекол Диско)","Признак_ВИ_Шкафа","Основной вариант")</f>
        <v>110110</v>
      </c>
      <c r="H78" s="31">
        <f>GETPIVOTDATA("Значение",Лист1!$B$2,"Серия","Эста","Тип_шкафа","3-х дверный купе","Ширина",2700,"Высота",2200,"Наименование шкафа на сайте","Эста 3-х дверный Медиум (4 посредине) (4 ЛДСП / 8 Белых стекол Диско)","Признак_ВИ_Шкафа","Новый вариант")</f>
        <v>100890</v>
      </c>
      <c r="I78" s="140">
        <f>GETPIVOTDATA("Значение",Лист1!$B$2,"Серия","Эста","Тип_шкафа","3-х дверный купе","Ширина",2700,"Высота",2400,"Наименование шкафа на сайте","Эста 3-х дверный Медиум (4 посредине) (4 ЛДСП / 8 Белых стекол Диско)","Признак_ВИ_Шкафа","Новый вариант")</f>
        <v>117340</v>
      </c>
    </row>
    <row r="79" spans="1:9" ht="16.2" x14ac:dyDescent="0.3">
      <c r="A79" s="379"/>
      <c r="B79" s="528"/>
      <c r="C79" s="489"/>
      <c r="D79" s="531"/>
      <c r="E79" s="12">
        <v>3000</v>
      </c>
      <c r="F79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ЛДСП / 8 Белых стекол Диско)","Признак_ВИ_Шкафа","Основной вариант")</f>
        <v>98260</v>
      </c>
      <c r="G79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ЛДСП / 8 Белых стекол Диско)","Признак_ВИ_Шкафа","Основной вариант")</f>
        <v>115420</v>
      </c>
      <c r="H79" s="31">
        <f>GETPIVOTDATA("Значение",Лист1!$B$2,"Серия","Эста","Тип_шкафа","3-х дверный купе","Ширина",3000,"Высота",2200,"Наименование шкафа на сайте","Эста 3-х дверный Медиум (4 посредине) (4 ЛДСП / 8 Белых стекол Диско)","Признак_ВИ_Шкафа","Новый вариант")</f>
        <v>104860</v>
      </c>
      <c r="I79" s="140">
        <f>GETPIVOTDATA("Значение",Лист1!$B$2,"Серия","Эста","Тип_шкафа","3-х дверный купе","Ширина",3000,"Высота",2400,"Наименование шкафа на сайте","Эста 3-х дверный Медиум (4 посредине) (4 ЛДСП / 8 Белых стекол Диско)","Признак_ВИ_Шкафа","Новый вариант")</f>
        <v>123300</v>
      </c>
    </row>
    <row r="80" spans="1:9" ht="16.2" x14ac:dyDescent="0.3">
      <c r="A80" s="379"/>
      <c r="B80" s="528"/>
      <c r="C80" s="502"/>
      <c r="D80" s="531" t="s">
        <v>779</v>
      </c>
      <c r="E80" s="12">
        <v>2400</v>
      </c>
      <c r="F80" s="31">
        <f>GETPIVOTDATA("Значение",Лист1!$B$2,"Серия","Эста","Тип_шкафа","3-х дверный купе","Ширина",2400,"Высота",2200,"Наименование шкафа на сайте","Эста 3-х дверный Цельный (12 Белых стекол диско)","Признак_ВИ_Шкафа","Основной вариант")</f>
        <v>107420</v>
      </c>
      <c r="G80" s="140">
        <f>GETPIVOTDATA("Значение",Лист1!$B$2,"Серия","Эста","Тип_шкафа","3-х дверный купе","Ширина",2400,"Высота",2400,"Наименование шкафа на сайте","Эста 3-х дверный Цельный (12 Белых стекол диско)","Признак_ВИ_Шкафа","Основной вариант")</f>
        <v>126070</v>
      </c>
      <c r="H80" s="31">
        <f>GETPIVOTDATA("Значение",Лист1!$B$2,"Серия","Эста","Тип_шкафа","3-х дверный купе","Ширина",2400,"Высота",2200,"Наименование шкафа на сайте","Эста 3-х дверный Цельный (12 Белых стекол диско)","Признак_ВИ_Шкафа","Новый вариант")</f>
        <v>112530</v>
      </c>
      <c r="I80" s="140">
        <f>GETPIVOTDATA("Значение",Лист1!$B$2,"Серия","Эста","Тип_шкафа","3-х дверный купе","Ширина",2400,"Высота",2400,"Наименование шкафа на сайте","Эста 3-х дверный Цельный (12 Белых стекол диско)","Признак_ВИ_Шкафа","Новый вариант")</f>
        <v>132250</v>
      </c>
    </row>
    <row r="81" spans="1:9" ht="16.2" x14ac:dyDescent="0.3">
      <c r="A81" s="379"/>
      <c r="B81" s="528"/>
      <c r="C81" s="502"/>
      <c r="D81" s="531"/>
      <c r="E81" s="12">
        <v>2700</v>
      </c>
      <c r="F81" s="31">
        <f>GETPIVOTDATA("Значение",Лист1!$B$2,"Серия","Эста","Тип_шкафа","3-х дверный купе","Ширина",2700,"Высота",2200,"Наименование шкафа на сайте","Эста 3-х дверный Цельный (12 Белых стекол диско)","Признак_ВИ_Шкафа","Основной вариант")</f>
        <v>110980</v>
      </c>
      <c r="G81" s="140">
        <f>GETPIVOTDATA("Значение",Лист1!$B$2,"Серия","Эста","Тип_шкафа","3-х дверный купе","Ширина",2700,"Высота",2400,"Наименование шкафа на сайте","Эста 3-х дверный Цельный (12 Белых стекол диско)","Признак_ВИ_Шкафа","Основной вариант")</f>
        <v>129630</v>
      </c>
      <c r="H81" s="31">
        <f>GETPIVOTDATA("Значение",Лист1!$B$2,"Серия","Эста","Тип_шкафа","3-х дверный купе","Ширина",2700,"Высота",2200,"Наименование шкафа на сайте","Эста 3-х дверный Цельный (12 Белых стекол диско)","Признак_ВИ_Шкафа","Новый вариант")</f>
        <v>116510</v>
      </c>
      <c r="I81" s="140">
        <f>GETPIVOTDATA("Значение",Лист1!$B$2,"Серия","Эста","Тип_шкафа","3-х дверный купе","Ширина",2700,"Высота",2400,"Наименование шкафа на сайте","Эста 3-х дверный Цельный (12 Белых стекол диско)","Признак_ВИ_Шкафа","Новый вариант")</f>
        <v>136220</v>
      </c>
    </row>
    <row r="82" spans="1:9" ht="16.8" thickBot="1" x14ac:dyDescent="0.35">
      <c r="A82" s="380"/>
      <c r="B82" s="529"/>
      <c r="C82" s="535"/>
      <c r="D82" s="531"/>
      <c r="E82" s="141">
        <v>3000</v>
      </c>
      <c r="F82" s="31">
        <f>GETPIVOTDATA("Значение",Лист1!$B$2,"Серия","Эста","Тип_шкафа","3-х дверный купе","Ширина",3000,"Высота",2200,"Наименование шкафа на сайте","Эста 3-х дверный Цельный (12 Белых стекол диско)","Признак_ВИ_Шкафа","Основной вариант")</f>
        <v>114520</v>
      </c>
      <c r="G82" s="140">
        <f>GETPIVOTDATA("Значение",Лист1!$B$2,"Серия","Эста","Тип_шкафа","3-х дверный купе","Ширина",3000,"Высота",2400,"Наименование шкафа на сайте","Эста 3-х дверный Цельный (12 Белых стекол диско)","Признак_ВИ_Шкафа","Основной вариант")</f>
        <v>134940</v>
      </c>
      <c r="H82" s="31">
        <f>GETPIVOTDATA("Значение",Лист1!$B$2,"Серия","Эста","Тип_шкафа","3-х дверный купе","Ширина",3000,"Высота",2200,"Наименование шкафа на сайте","Эста 3-х дверный Цельный (12 Белых стекол диско)","Признак_ВИ_Шкафа","Новый вариант")</f>
        <v>120480</v>
      </c>
      <c r="I82" s="140">
        <f>GETPIVOTDATA("Значение",Лист1!$B$2,"Серия","Эста","Тип_шкафа","3-х дверный купе","Ширина",3000,"Высота",2400,"Наименование шкафа на сайте","Эста 3-х дверный Цельный (12 Белых стекол диско)","Признак_ВИ_Шкафа","Новый вариант")</f>
        <v>142180</v>
      </c>
    </row>
    <row r="83" spans="1:9" x14ac:dyDescent="0.3">
      <c r="A83" s="1"/>
      <c r="B83" s="1"/>
    </row>
    <row r="84" spans="1:9" x14ac:dyDescent="0.3">
      <c r="A84" s="1"/>
      <c r="B84" s="1"/>
    </row>
    <row r="109" spans="3:3" x14ac:dyDescent="0.3">
      <c r="C109" t="s">
        <v>0</v>
      </c>
    </row>
  </sheetData>
  <mergeCells count="71">
    <mergeCell ref="C80:C82"/>
    <mergeCell ref="D80:D82"/>
    <mergeCell ref="C71:C73"/>
    <mergeCell ref="D71:D73"/>
    <mergeCell ref="C74:C76"/>
    <mergeCell ref="D74:D76"/>
    <mergeCell ref="C77:C79"/>
    <mergeCell ref="D77:D79"/>
    <mergeCell ref="C62:C64"/>
    <mergeCell ref="D62:D64"/>
    <mergeCell ref="C65:C67"/>
    <mergeCell ref="D65:D67"/>
    <mergeCell ref="C68:C70"/>
    <mergeCell ref="D68:D70"/>
    <mergeCell ref="A41:A82"/>
    <mergeCell ref="B41:B82"/>
    <mergeCell ref="C41:C43"/>
    <mergeCell ref="D41:D43"/>
    <mergeCell ref="C44:C46"/>
    <mergeCell ref="D44:D46"/>
    <mergeCell ref="C47:C49"/>
    <mergeCell ref="D47:D49"/>
    <mergeCell ref="C50:C52"/>
    <mergeCell ref="D50:D52"/>
    <mergeCell ref="C53:C55"/>
    <mergeCell ref="D53:D55"/>
    <mergeCell ref="C56:C58"/>
    <mergeCell ref="D56:D58"/>
    <mergeCell ref="C59:C61"/>
    <mergeCell ref="D59:D61"/>
    <mergeCell ref="C32:C34"/>
    <mergeCell ref="D32:D34"/>
    <mergeCell ref="C35:C37"/>
    <mergeCell ref="D35:D37"/>
    <mergeCell ref="C38:C40"/>
    <mergeCell ref="D38:D40"/>
    <mergeCell ref="D26:D28"/>
    <mergeCell ref="C29:C31"/>
    <mergeCell ref="D29:D31"/>
    <mergeCell ref="C23:C25"/>
    <mergeCell ref="D23:D25"/>
    <mergeCell ref="A7:E7"/>
    <mergeCell ref="F7:G7"/>
    <mergeCell ref="H7:I7"/>
    <mergeCell ref="A8:A40"/>
    <mergeCell ref="B8:B40"/>
    <mergeCell ref="C8:C10"/>
    <mergeCell ref="D8:D10"/>
    <mergeCell ref="C11:C13"/>
    <mergeCell ref="D11:D13"/>
    <mergeCell ref="C14:C16"/>
    <mergeCell ref="D14:D16"/>
    <mergeCell ref="C17:C19"/>
    <mergeCell ref="D17:D19"/>
    <mergeCell ref="C20:C22"/>
    <mergeCell ref="D20:D22"/>
    <mergeCell ref="C26:C28"/>
    <mergeCell ref="F6:I6"/>
    <mergeCell ref="A1:A4"/>
    <mergeCell ref="C1:F1"/>
    <mergeCell ref="G1:G2"/>
    <mergeCell ref="H1:I2"/>
    <mergeCell ref="D2:E2"/>
    <mergeCell ref="D3:E3"/>
    <mergeCell ref="G3:G4"/>
    <mergeCell ref="H3:I4"/>
    <mergeCell ref="A5:A6"/>
    <mergeCell ref="B5:B6"/>
    <mergeCell ref="C5:C6"/>
    <mergeCell ref="D5:D6"/>
    <mergeCell ref="E5:E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9BA50-67D9-453B-BFAB-875D283EA116}">
  <sheetPr codeName="Лист5">
    <pageSetUpPr fitToPage="1"/>
  </sheetPr>
  <dimension ref="A1:N61"/>
  <sheetViews>
    <sheetView showGridLines="0" zoomScale="85" zoomScaleNormal="85" zoomScaleSheetLayoutView="55" workbookViewId="0">
      <pane xSplit="3" ySplit="12" topLeftCell="D13" activePane="bottomRight" state="frozen"/>
      <selection activeCell="K21" sqref="K21"/>
      <selection pane="topRight" activeCell="K21" sqref="K21"/>
      <selection pane="bottomLeft" activeCell="K21" sqref="K21"/>
      <selection pane="bottomRight" activeCell="O56" sqref="O56"/>
    </sheetView>
  </sheetViews>
  <sheetFormatPr defaultColWidth="9.109375" defaultRowHeight="14.4" customHeight="1" x14ac:dyDescent="0.3"/>
  <cols>
    <col min="1" max="1" width="6.6640625" customWidth="1"/>
    <col min="2" max="2" width="11.6640625" customWidth="1"/>
    <col min="3" max="3" width="4.44140625" customWidth="1"/>
    <col min="4" max="4" width="12.88671875" customWidth="1"/>
    <col min="5" max="5" width="14" customWidth="1"/>
    <col min="6" max="7" width="11.33203125" bestFit="1" customWidth="1"/>
    <col min="8" max="9" width="9.33203125" customWidth="1"/>
    <col min="10" max="11" width="11.33203125" bestFit="1" customWidth="1"/>
    <col min="12" max="12" width="14" customWidth="1"/>
    <col min="13" max="13" width="9.109375" bestFit="1" customWidth="1"/>
    <col min="14" max="14" width="5" customWidth="1"/>
    <col min="15" max="27" width="9.109375" customWidth="1"/>
  </cols>
  <sheetData>
    <row r="1" spans="1:14" ht="15" customHeight="1" x14ac:dyDescent="0.3">
      <c r="A1" s="352"/>
      <c r="B1" s="551" t="s">
        <v>780</v>
      </c>
      <c r="C1" s="551"/>
      <c r="D1" s="552" t="s">
        <v>81</v>
      </c>
      <c r="E1" s="552"/>
      <c r="F1" s="552"/>
      <c r="G1" s="552"/>
      <c r="H1" s="553"/>
      <c r="I1" s="552"/>
      <c r="J1" s="420"/>
      <c r="K1" s="420"/>
      <c r="L1" s="547" t="s">
        <v>782</v>
      </c>
      <c r="M1" s="549"/>
    </row>
    <row r="2" spans="1:14" ht="15" customHeight="1" x14ac:dyDescent="0.3">
      <c r="A2" s="353"/>
      <c r="B2" s="72" t="s">
        <v>52</v>
      </c>
      <c r="C2" s="351" t="s">
        <v>80</v>
      </c>
      <c r="D2" s="351"/>
      <c r="E2" s="351"/>
      <c r="F2" s="42"/>
      <c r="I2" s="146"/>
      <c r="J2" s="421"/>
      <c r="K2" s="421"/>
      <c r="L2" s="548"/>
      <c r="M2" s="550"/>
    </row>
    <row r="3" spans="1:14" ht="15" customHeight="1" x14ac:dyDescent="0.3">
      <c r="A3" s="353"/>
      <c r="B3" s="41"/>
      <c r="C3" s="351"/>
      <c r="D3" s="351"/>
      <c r="E3" s="351"/>
      <c r="F3" s="513" t="s">
        <v>25</v>
      </c>
      <c r="G3" s="513"/>
      <c r="H3" s="566">
        <v>45536</v>
      </c>
      <c r="I3" s="566"/>
      <c r="J3" s="421"/>
      <c r="K3" s="421"/>
      <c r="L3" s="547" t="s">
        <v>783</v>
      </c>
      <c r="M3" s="549"/>
    </row>
    <row r="4" spans="1:14" ht="12.75" customHeight="1" thickBot="1" x14ac:dyDescent="0.35">
      <c r="A4" s="354"/>
      <c r="B4" s="38"/>
      <c r="C4" s="132"/>
      <c r="D4" s="37"/>
      <c r="E4" s="37"/>
      <c r="F4" s="36"/>
      <c r="G4" s="133"/>
      <c r="H4" s="147"/>
      <c r="I4" s="147"/>
      <c r="J4" s="512"/>
      <c r="K4" s="512"/>
      <c r="L4" s="548"/>
      <c r="M4" s="550"/>
    </row>
    <row r="5" spans="1:14" ht="23.25" customHeight="1" x14ac:dyDescent="0.3">
      <c r="A5" s="564" t="s">
        <v>24</v>
      </c>
      <c r="B5" s="562" t="s">
        <v>23</v>
      </c>
      <c r="C5" s="562"/>
      <c r="D5" s="562" t="s">
        <v>22</v>
      </c>
      <c r="E5" s="560" t="s">
        <v>46</v>
      </c>
      <c r="F5" s="567" t="s">
        <v>801</v>
      </c>
      <c r="G5" s="568"/>
      <c r="H5" s="568"/>
      <c r="I5" s="568"/>
      <c r="J5" s="568"/>
      <c r="K5" s="568"/>
      <c r="L5" s="568"/>
      <c r="M5" s="569"/>
    </row>
    <row r="6" spans="1:14" ht="12.75" customHeight="1" thickBot="1" x14ac:dyDescent="0.35">
      <c r="A6" s="565"/>
      <c r="B6" s="563"/>
      <c r="C6" s="563"/>
      <c r="D6" s="563"/>
      <c r="E6" s="561"/>
      <c r="F6" s="570" t="s">
        <v>78</v>
      </c>
      <c r="G6" s="571"/>
      <c r="H6" s="571"/>
      <c r="I6" s="571"/>
      <c r="J6" s="571"/>
      <c r="K6" s="571"/>
      <c r="L6" s="571"/>
      <c r="M6" s="572"/>
    </row>
    <row r="7" spans="1:14" ht="25.5" customHeight="1" thickBot="1" x14ac:dyDescent="0.35">
      <c r="A7" s="91"/>
      <c r="F7" s="398" t="s">
        <v>788</v>
      </c>
      <c r="G7" s="399"/>
      <c r="H7" s="399"/>
      <c r="I7" s="399"/>
      <c r="J7" s="399"/>
      <c r="K7" s="399"/>
      <c r="L7" s="399"/>
      <c r="M7" s="408"/>
      <c r="N7" s="35"/>
    </row>
    <row r="8" spans="1:14" ht="33.75" customHeight="1" x14ac:dyDescent="0.3">
      <c r="A8" s="554" t="s">
        <v>64</v>
      </c>
      <c r="B8" s="556"/>
      <c r="C8" s="557"/>
      <c r="D8" s="90" t="s">
        <v>64</v>
      </c>
      <c r="E8" s="14" t="s">
        <v>76</v>
      </c>
      <c r="F8" s="84">
        <f>GETPIVOTDATA("Значение",Локер1!AH:AN,"Серия","Экспресс","Тип_шкафа","2-х дверный купе","Ширина",900,"Высота",1900,"Глубина",440,"Наименование шкафа на сайте","Экспресс 2-х дверный Мини","Признак_ВИ_Шкафа","Основной вариант")</f>
        <v>9660</v>
      </c>
      <c r="G8" s="294"/>
      <c r="H8" s="89"/>
      <c r="I8" s="89"/>
      <c r="J8" s="89"/>
      <c r="K8" s="89"/>
      <c r="L8" s="89"/>
      <c r="M8" s="88"/>
    </row>
    <row r="9" spans="1:14" ht="16.5" customHeight="1" thickBot="1" x14ac:dyDescent="0.35">
      <c r="A9" s="555"/>
      <c r="B9" s="558"/>
      <c r="C9" s="559"/>
      <c r="D9" s="79" t="s">
        <v>75</v>
      </c>
      <c r="E9" s="78">
        <v>900</v>
      </c>
      <c r="F9" s="296">
        <f>GETPIVOTDATA("Значение",Лист1!K:P,"Вариант_исполнения","Венге","Ширина","","Глубина","","Высота","","Комплектующая","Доп. Полки")</f>
        <v>1450</v>
      </c>
      <c r="G9" s="295"/>
      <c r="H9" s="297"/>
      <c r="I9" s="297"/>
      <c r="J9" s="297"/>
      <c r="K9" s="297"/>
      <c r="L9" s="297"/>
      <c r="M9" s="298"/>
    </row>
    <row r="10" spans="1:14" ht="22.8" x14ac:dyDescent="0.3">
      <c r="A10" s="588"/>
      <c r="B10" s="589"/>
      <c r="C10" s="589"/>
      <c r="D10" s="589"/>
      <c r="E10" s="590"/>
      <c r="F10" s="299" t="s">
        <v>20</v>
      </c>
      <c r="G10" s="300" t="s">
        <v>19</v>
      </c>
      <c r="H10" s="299" t="s">
        <v>20</v>
      </c>
      <c r="I10" s="300" t="s">
        <v>19</v>
      </c>
      <c r="J10" s="299" t="s">
        <v>20</v>
      </c>
      <c r="K10" s="301" t="s">
        <v>19</v>
      </c>
      <c r="L10" s="299" t="s">
        <v>20</v>
      </c>
      <c r="M10" s="301" t="s">
        <v>19</v>
      </c>
    </row>
    <row r="11" spans="1:14" ht="16.5" customHeight="1" thickBot="1" x14ac:dyDescent="0.35">
      <c r="A11" s="591"/>
      <c r="B11" s="592"/>
      <c r="C11" s="592"/>
      <c r="D11" s="592"/>
      <c r="E11" s="593"/>
      <c r="F11" s="542" t="s">
        <v>79</v>
      </c>
      <c r="G11" s="543"/>
      <c r="H11" s="542" t="s">
        <v>78</v>
      </c>
      <c r="I11" s="543"/>
      <c r="J11" s="542" t="s">
        <v>79</v>
      </c>
      <c r="K11" s="543"/>
      <c r="L11" s="542" t="s">
        <v>78</v>
      </c>
      <c r="M11" s="543"/>
    </row>
    <row r="12" spans="1:14" ht="40.950000000000003" customHeight="1" thickBot="1" x14ac:dyDescent="0.35">
      <c r="A12" s="594"/>
      <c r="B12" s="595"/>
      <c r="C12" s="595"/>
      <c r="D12" s="595"/>
      <c r="E12" s="596"/>
      <c r="F12" s="544" t="s">
        <v>74</v>
      </c>
      <c r="G12" s="545"/>
      <c r="H12" s="545"/>
      <c r="I12" s="546"/>
      <c r="J12" s="544" t="s">
        <v>58</v>
      </c>
      <c r="K12" s="545"/>
      <c r="L12" s="545"/>
      <c r="M12" s="546"/>
    </row>
    <row r="13" spans="1:14" ht="14.25" customHeight="1" x14ac:dyDescent="0.4">
      <c r="A13" s="597" t="s">
        <v>784</v>
      </c>
      <c r="B13" s="599"/>
      <c r="C13" s="600"/>
      <c r="D13" s="87" t="s">
        <v>73</v>
      </c>
      <c r="E13" s="86">
        <v>1200</v>
      </c>
      <c r="F13" s="84">
        <f>GETPIVOTDATA("Значение",Лист1!$B$2,"Серия","Экспресс","Тип_шкафа","2-х дверный купе","Ширина",1200,"Высота",2200,"Глубина",600,"Наименование шкафа на сайте","Экспресс Хит 2-х дверный (ЛДСП)","Признак_ВИ_Шкафа","Основной вариант")</f>
        <v>15240</v>
      </c>
      <c r="G13" s="85"/>
      <c r="H13" s="85"/>
      <c r="I13" s="85"/>
      <c r="J13" s="84">
        <f>GETPIVOTDATA("Значение",Лист1!$B$2,"Серия","Экспресс","Тип_шкафа","2-х дверный купе","Ширина",1200,"Высота",2200,"Глубина",600,"Наименование шкафа на сайте","Экспресс Хит 2-х дверный (ЛДСП)","Признак_ВИ_Шкафа","Новый вариант")</f>
        <v>17060</v>
      </c>
      <c r="K13" s="536"/>
      <c r="L13" s="536"/>
      <c r="M13" s="537"/>
    </row>
    <row r="14" spans="1:14" ht="14.25" customHeight="1" x14ac:dyDescent="0.4">
      <c r="A14" s="598"/>
      <c r="B14" s="601"/>
      <c r="C14" s="602"/>
      <c r="D14" s="83" t="s">
        <v>14</v>
      </c>
      <c r="E14" s="82">
        <v>1200</v>
      </c>
      <c r="F14" s="80">
        <f>GETPIVOTDATA("Значение",Лист1!$B$2,"Серия","Экспресс","Тип_шкафа","2-х дверный купе","Ширина",1200,"Высота",2200,"Глубина",600,"Наименование шкафа на сайте","Экспресс Хит 2-х дверный (ЛДСП, Зеркало)","Признак_ВИ_Шкафа","Основной вариант")</f>
        <v>16140</v>
      </c>
      <c r="G14" s="302"/>
      <c r="H14" s="302"/>
      <c r="I14" s="302"/>
      <c r="J14" s="80">
        <f>GETPIVOTDATA("Значение",Лист1!$B$2,"Серия","Экспресс","Тип_шкафа","2-х дверный купе","Ширина",1200,"Высота",2200,"Глубина",600,"Наименование шкафа на сайте","Экспресс Хит 2-х дверный (ЛДСП, Зеркало)","Признак_ВИ_Шкафа","Новый вариант")</f>
        <v>17580</v>
      </c>
      <c r="K14" s="538"/>
      <c r="L14" s="538"/>
      <c r="M14" s="539"/>
    </row>
    <row r="15" spans="1:14" ht="14.25" customHeight="1" x14ac:dyDescent="0.4">
      <c r="A15" s="598"/>
      <c r="B15" s="601"/>
      <c r="C15" s="602"/>
      <c r="D15" s="83" t="s">
        <v>13</v>
      </c>
      <c r="E15" s="82">
        <v>1200</v>
      </c>
      <c r="F15" s="80">
        <f>GETPIVOTDATA("Значение",Лист1!$B$2,"Серия","Экспресс","Тип_шкафа","2-х дверный купе","Ширина",1200,"Высота",2200,"Глубина",600,"Наименование шкафа на сайте","Экспресс Хит 2-х дверный (Зеркало)","Признак_ВИ_Шкафа","Основной вариант")</f>
        <v>17040</v>
      </c>
      <c r="G15" s="302"/>
      <c r="H15" s="302"/>
      <c r="I15" s="302"/>
      <c r="J15" s="80">
        <f>GETPIVOTDATA("Значение",Лист1!$B$2,"Серия","Экспресс","Тип_шкафа","2-х дверный купе","Ширина",1200,"Высота",2200,"Глубина",600,"Наименование шкафа на сайте","Экспресс Хит 2-х дверный (Зеркало)","Признак_ВИ_Шкафа","Новый вариант")</f>
        <v>18100</v>
      </c>
      <c r="K15" s="538"/>
      <c r="L15" s="538"/>
      <c r="M15" s="539"/>
    </row>
    <row r="16" spans="1:14" ht="14.25" customHeight="1" thickBot="1" x14ac:dyDescent="0.45">
      <c r="A16" s="555"/>
      <c r="B16" s="558"/>
      <c r="C16" s="559"/>
      <c r="D16" s="79" t="s">
        <v>67</v>
      </c>
      <c r="E16" s="78">
        <v>1200</v>
      </c>
      <c r="F16" s="76">
        <f>GETPIVOTDATA("Значение",Лист1!$B$2,"Серия","Экспресс","Тип_шкафа","2-х дверный купе","Ширина",1200,"Высота",2200,"Глубина",600,"Наименование шкафа на сайте","Экспресс Хит 2-х дверный (Фото№1025 Орхидея белая)","Признак_ВИ_Шкафа","Основной вариант")</f>
        <v>20200</v>
      </c>
      <c r="G16" s="77"/>
      <c r="H16" s="77"/>
      <c r="I16" s="77"/>
      <c r="J16" s="76">
        <f>GETPIVOTDATA("Значение",Лист1!$B$2,"Серия","Экспресс","Тип_шкафа","2-х дверный купе","Ширина",1200,"Высота",2200,"Глубина",600,"Наименование шкафа на сайте","Экспресс Хит 2-х дверный (Фото№1025 Орхидея белая)","Признак_ВИ_Шкафа","Новый вариант")</f>
        <v>21260</v>
      </c>
      <c r="K16" s="540"/>
      <c r="L16" s="540"/>
      <c r="M16" s="541"/>
    </row>
    <row r="17" spans="1:14" ht="14.25" customHeight="1" thickBot="1" x14ac:dyDescent="0.45">
      <c r="A17" s="580" t="s">
        <v>785</v>
      </c>
      <c r="B17" s="581"/>
      <c r="C17" s="581"/>
      <c r="D17" s="581"/>
      <c r="E17" s="582"/>
      <c r="F17" s="149"/>
      <c r="G17" s="81"/>
      <c r="H17" s="81"/>
      <c r="I17" s="81"/>
      <c r="J17" s="149"/>
      <c r="K17" s="150"/>
      <c r="L17" s="150"/>
      <c r="M17" s="148"/>
    </row>
    <row r="18" spans="1:14" ht="17.25" customHeight="1" x14ac:dyDescent="0.3">
      <c r="A18" s="583" t="s">
        <v>2</v>
      </c>
      <c r="B18" s="386"/>
      <c r="C18" s="387"/>
      <c r="D18" s="532" t="s">
        <v>73</v>
      </c>
      <c r="E18" s="14">
        <v>1200</v>
      </c>
      <c r="F18" s="24">
        <f>GETPIVOTDATA("Значение",Лист1!$B$2,"Серия","Экспресс","Тип_шкафа","2-х дверный купе","Ширина",1200,"Высота",2200,"Глубина",600,"Наименование шкафа на сайте","Экспресс 2-х дверный (ЛДСП)","Признак_ВИ_Шкафа","Основной вариант")</f>
        <v>16920</v>
      </c>
      <c r="G18" s="22">
        <f>GETPIVOTDATA("Значение",Лист1!$B$2,"Серия","Экспресс","Тип_шкафа","2-х дверный купе","Ширина",1200,"Высота",2400,"Глубина",600,"Наименование шкафа на сайте","Экспресс 2-х дверный (ЛДСП)","Признак_ВИ_Шкафа","Основной вариант")</f>
        <v>18420</v>
      </c>
      <c r="H18" s="24">
        <f>GETPIVOTDATA("Значение",Лист1!$B$2,"Серия","Экспресс","Тип_шкафа","2-х дверный купе","Ширина",1200,"Высота",2200,"Глубина",440,"Наименование шкафа на сайте","Экспресс 2-х дверный (ЛДСП)","Признак_ВИ_Шкафа","Основной вариант")</f>
        <v>14880</v>
      </c>
      <c r="I18" s="22">
        <f>GETPIVOTDATA("Значение",Лист1!$B$2,"Серия","Экспресс","Тип_шкафа","2-х дверный купе","Ширина",1200,"Высота",2400,"Глубина",440,"Наименование шкафа на сайте","Экспресс 2-х дверный (ЛДСП)","Признак_ВИ_Шкафа","Основной вариант")</f>
        <v>16060</v>
      </c>
      <c r="J18" s="24">
        <f>GETPIVOTDATA("Значение",Лист1!$B$2,"Серия","Экспресс","Тип_шкафа","2-х дверный купе","Ширина",1200,"Высота",2200,"Глубина",600,"Наименование шкафа на сайте","Экспресс 2-х дверный (ЛДСП)","Признак_ВИ_Шкафа","Новый вариант")</f>
        <v>18940</v>
      </c>
      <c r="K18" s="22">
        <f>GETPIVOTDATA("Значение",Лист1!$B$2,"Серия","Экспресс","Тип_шкафа","2-х дверный купе","Ширина",1200,"Высота",2400,"Глубина",600,"Наименование шкафа на сайте","Экспресс 2-х дверный (ЛДСП)","Признак_ВИ_Шкафа","Новый вариант")</f>
        <v>20620</v>
      </c>
      <c r="L18" s="24">
        <f>GETPIVOTDATA("Значение",Лист1!$B$2,"Серия","Экспресс","Тип_шкафа","2-х дверный купе","Ширина",1200,"Высота",2200,"Глубина",440,"Наименование шкафа на сайте","Экспресс 2-х дверный (ЛДСП)","Признак_ВИ_Шкафа","Новый вариант")</f>
        <v>16660</v>
      </c>
      <c r="M18" s="22">
        <f>GETPIVOTDATA("Значение",Лист1!$B$2,"Серия","Экспресс","Тип_шкафа","2-х дверный купе","Ширина",1200,"Высота",2400,"Глубина",440,"Наименование шкафа на сайте","Экспресс 2-х дверный (ЛДСП)","Признак_ВИ_Шкафа","Новый вариант")</f>
        <v>18000</v>
      </c>
      <c r="N18" s="34"/>
    </row>
    <row r="19" spans="1:14" ht="17.25" customHeight="1" x14ac:dyDescent="0.3">
      <c r="A19" s="584"/>
      <c r="B19" s="388"/>
      <c r="C19" s="389"/>
      <c r="D19" s="525"/>
      <c r="E19" s="12">
        <v>1400</v>
      </c>
      <c r="F19" s="21">
        <f>GETPIVOTDATA("Значение",Лист1!$B$2,"Серия","Экспресс","Тип_шкафа","2-х дверный купе","Ширина",1400,"Высота",2200,"Глубина",600,"Наименование шкафа на сайте","Экспресс 2-х дверный (ЛДСП)","Признак_ВИ_Шкафа","Основной вариант")</f>
        <v>19460</v>
      </c>
      <c r="G19" s="19">
        <f>GETPIVOTDATA("Значение",Лист1!$B$2,"Серия","Экспресс","Тип_шкафа","2-х дверный купе","Ширина",1400,"Высота",2400,"Глубина",600,"Наименование шкафа на сайте","Экспресс 2-х дверный (ЛДСП)","Признак_ВИ_Шкафа","Основной вариант")</f>
        <v>21410</v>
      </c>
      <c r="H19" s="21">
        <f>GETPIVOTDATA("Значение",Лист1!$B$2,"Серия","Экспресс","Тип_шкафа","2-х дверный купе","Ширина",1400,"Высота",2200,"Глубина",440,"Наименование шкафа на сайте","Экспресс 2-х дверный (ЛДСП)","Признак_ВИ_Шкафа","Основной вариант")</f>
        <v>17210</v>
      </c>
      <c r="I19" s="19">
        <f>GETPIVOTDATA("Значение",Лист1!$B$2,"Серия","Экспресс","Тип_шкафа","2-х дверный купе","Ширина",1400,"Высота",2400,"Глубина",440,"Наименование шкафа на сайте","Экспресс 2-х дверный (ЛДСП)","Признак_ВИ_Шкафа","Основной вариант")</f>
        <v>18330</v>
      </c>
      <c r="J19" s="21">
        <f>GETPIVOTDATA("Значение",Лист1!$B$2,"Серия","Экспресс","Тип_шкафа","2-х дверный купе","Ширина",1400,"Высота",2200,"Глубина",600,"Наименование шкафа на сайте","Экспресс 2-х дверный (ЛДСП)","Признак_ВИ_Шкафа","Новый вариант")</f>
        <v>21780</v>
      </c>
      <c r="K19" s="19">
        <f>GETPIVOTDATA("Значение",Лист1!$B$2,"Серия","Экспресс","Тип_шкафа","2-х дверный купе","Ширина",1400,"Высота",2400,"Глубина",600,"Наименование шкафа на сайте","Экспресс 2-х дверный (ЛДСП)","Признак_ВИ_Шкафа","Новый вариант")</f>
        <v>24000</v>
      </c>
      <c r="L19" s="21">
        <f>GETPIVOTDATA("Значение",Лист1!$B$2,"Серия","Экспресс","Тип_шкафа","2-х дверный купе","Ширина",1400,"Высота",2200,"Глубина",440,"Наименование шкафа на сайте","Экспресс 2-х дверный (ЛДСП)","Признак_ВИ_Шкафа","Новый вариант")</f>
        <v>19260</v>
      </c>
      <c r="M19" s="19">
        <f>GETPIVOTDATA("Значение",Лист1!$B$2,"Серия","Экспресс","Тип_шкафа","2-х дверный купе","Ширина",1400,"Высота",2400,"Глубина",440,"Наименование шкафа на сайте","Экспресс 2-х дверный (ЛДСП)","Признак_ВИ_Шкафа","Новый вариант")</f>
        <v>20540</v>
      </c>
      <c r="N19" s="34"/>
    </row>
    <row r="20" spans="1:14" ht="17.25" customHeight="1" x14ac:dyDescent="0.3">
      <c r="A20" s="584"/>
      <c r="B20" s="388"/>
      <c r="C20" s="389"/>
      <c r="D20" s="525"/>
      <c r="E20" s="12">
        <v>1600</v>
      </c>
      <c r="F20" s="21">
        <f>GETPIVOTDATA("Значение",Лист1!$B$2,"Серия","Экспресс","Тип_шкафа","2-х дверный купе","Ширина",1600,"Высота",2200,"Глубина",600,"Наименование шкафа на сайте","Экспресс 2-х дверный (ЛДСП)","Признак_ВИ_Шкафа","Основной вариант")</f>
        <v>21720</v>
      </c>
      <c r="G20" s="19">
        <f>GETPIVOTDATA("Значение",Лист1!$B$2,"Серия","Экспресс","Тип_шкафа","2-х дверный купе","Ширина",1600,"Высота",2400,"Глубина",600,"Наименование шкафа на сайте","Экспресс 2-х дверный (ЛДСП)","Признак_ВИ_Шкафа","Основной вариант")</f>
        <v>23700</v>
      </c>
      <c r="H20" s="21">
        <f>GETPIVOTDATA("Значение",Лист1!$B$2,"Серия","Экспресс","Тип_шкафа","2-х дверный купе","Ширина",1600,"Высота",2200,"Глубина",440,"Наименование шкафа на сайте","Экспресс 2-х дверный (ЛДСП)","Признак_ВИ_Шкафа","Основной вариант")</f>
        <v>19290</v>
      </c>
      <c r="I20" s="19">
        <f>GETPIVOTDATA("Значение",Лист1!$B$2,"Серия","Экспресс","Тип_шкафа","2-х дверный купе","Ширина",1600,"Высота",2400,"Глубина",440,"Наименование шкафа на сайте","Экспресс 2-х дверный (ЛДСП)","Признак_ВИ_Шкафа","Основной вариант")</f>
        <v>20430</v>
      </c>
      <c r="J20" s="21">
        <f>GETPIVOTDATA("Значение",Лист1!$B$2,"Серия","Экспресс","Тип_шкафа","2-х дверный купе","Ширина",1600,"Высота",2200,"Глубина",600,"Наименование шкафа на сайте","Экспресс 2-х дверный (ЛДСП)","Признак_ВИ_Шкафа","Новый вариант")</f>
        <v>24340</v>
      </c>
      <c r="K20" s="19">
        <f>GETPIVOTDATA("Значение",Лист1!$B$2,"Серия","Экспресс","Тип_шкафа","2-х дверный купе","Ширина",1600,"Высота",2400,"Глубина",600,"Наименование шкафа на сайте","Экспресс 2-х дверный (ЛДСП)","Признак_ВИ_Шкафа","Новый вариант")</f>
        <v>26510</v>
      </c>
      <c r="L20" s="21">
        <f>GETPIVOTDATA("Значение",Лист1!$B$2,"Серия","Экспресс","Тип_шкафа","2-х дверный купе","Ширина",1600,"Высота",2200,"Глубина",440,"Наименование шкафа на сайте","Экспресс 2-х дверный (ЛДСП)","Признак_ВИ_Шкафа","Новый вариант")</f>
        <v>21630</v>
      </c>
      <c r="M20" s="19">
        <f>GETPIVOTDATA("Значение",Лист1!$B$2,"Серия","Экспресс","Тип_шкафа","2-х дверный купе","Ширина",1600,"Высота",2400,"Глубина",440,"Наименование шкафа на сайте","Экспресс 2-х дверный (ЛДСП)","Признак_ВИ_Шкафа","Новый вариант")</f>
        <v>22880</v>
      </c>
      <c r="N20" s="33"/>
    </row>
    <row r="21" spans="1:14" ht="17.25" customHeight="1" x14ac:dyDescent="0.3">
      <c r="A21" s="584"/>
      <c r="B21" s="390"/>
      <c r="C21" s="391"/>
      <c r="D21" s="533"/>
      <c r="E21" s="12">
        <v>1800</v>
      </c>
      <c r="F21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2-х дверный (ЛДСП)","Признак_ВИ_Шкафа","Основной вариант")</f>
        <v>24050</v>
      </c>
      <c r="G21" s="19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2-х дверный (ЛДСП)","Признак_ВИ_Шкафа","Основной вариант")</f>
        <v>26240</v>
      </c>
      <c r="H21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2-х дверный (ЛДСП)","Признак_ВИ_Шкафа","Основной вариант")</f>
        <v>21180</v>
      </c>
      <c r="I21" s="19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2-х дверный (ЛДСП)","Признак_ВИ_Шкафа","Основной вариант")</f>
        <v>22470</v>
      </c>
      <c r="J21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2-х дверный (ЛДСП)","Признак_ВИ_Шкафа","Новый вариант")</f>
        <v>26960</v>
      </c>
      <c r="K21" s="19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2-х дверный (ЛДСП)","Признак_ВИ_Шкафа","Новый вариант")</f>
        <v>29370</v>
      </c>
      <c r="L21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2-х дверный (ЛДСП)","Признак_ВИ_Шкафа","Новый вариант")</f>
        <v>23760</v>
      </c>
      <c r="M21" s="19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2-х дверный (ЛДСП)","Признак_ВИ_Шкафа","Новый вариант")</f>
        <v>25160</v>
      </c>
      <c r="N21" s="33"/>
    </row>
    <row r="22" spans="1:14" ht="17.25" customHeight="1" x14ac:dyDescent="0.3">
      <c r="A22" s="584"/>
      <c r="B22" s="360"/>
      <c r="C22" s="361"/>
      <c r="D22" s="534" t="s">
        <v>14</v>
      </c>
      <c r="E22" s="12">
        <v>1200</v>
      </c>
      <c r="F22" s="75">
        <f>GETPIVOTDATA("Значение",Лист1!$B$2,"Серия","Экспресс","Тип_шкафа","2-х дверный купе","Ширина",1200,"Высота",2200,"Глубина",600,"Наименование шкафа на сайте","Экспресс 2-х дверный (ЛДСП, Зеркало)","Признак_ВИ_Шкафа","Основной вариант")</f>
        <v>17820</v>
      </c>
      <c r="G22" s="28">
        <f>GETPIVOTDATA("Значение",Лист1!$B$2,"Серия","Экспресс","Тип_шкафа","2-х дверный купе","Ширина",1200,"Высота",2400,"Глубина",600,"Наименование шкафа на сайте","Экспресс 2-х дверный (ЛДСП, Зеркало)","Признак_ВИ_Шкафа","Основной вариант")</f>
        <v>19470</v>
      </c>
      <c r="H22" s="31">
        <f>GETPIVOTDATA("Значение",Лист1!$B$2,"Серия","Экспресс","Тип_шкафа","2-х дверный купе","Ширина",1200,"Высота",2200,"Глубина",440,"Наименование шкафа на сайте","Экспресс 2-х дверный (ЛДСП, Зеркало)","Признак_ВИ_Шкафа","Основной вариант")</f>
        <v>15780</v>
      </c>
      <c r="I22" s="28">
        <f>GETPIVOTDATA("Значение",Лист1!$B$2,"Серия","Экспресс","Тип_шкафа","2-х дверный купе","Ширина",1200,"Высота",2400,"Глубина",440,"Наименование шкафа на сайте","Экспресс 2-х дверный (ЛДСП, Зеркало)","Признак_ВИ_Шкафа","Основной вариант")</f>
        <v>17110</v>
      </c>
      <c r="J22" s="75">
        <f>GETPIVOTDATA("Значение",Лист1!$B$2,"Серия","Экспресс","Тип_шкафа","2-х дверный купе","Ширина",1200,"Высота",2200,"Глубина",600,"Наименование шкафа на сайте","Экспресс 2-х дверный (ЛДСП, Зеркало)","Признак_ВИ_Шкафа","Новый вариант")</f>
        <v>19460</v>
      </c>
      <c r="K22" s="66">
        <f>GETPIVOTDATA("Значение",Лист1!$B$2,"Серия","Экспресс","Тип_шкафа","2-х дверный купе","Ширина",1200,"Высота",2400,"Глубина",600,"Наименование шкафа на сайте","Экспресс 2-х дверный (ЛДСП, Зеркало)","Признак_ВИ_Шкафа","Новый вариант")</f>
        <v>21250</v>
      </c>
      <c r="L22" s="75">
        <f>GETPIVOTDATA("Значение",Лист1!$B$2,"Серия","Экспресс","Тип_шкафа","2-х дверный купе","Ширина",1200,"Высота",2200,"Глубина",440,"Наименование шкафа на сайте","Экспресс 2-х дверный (ЛДСП, Зеркало)","Признак_ВИ_Шкафа","Новый вариант")</f>
        <v>17180</v>
      </c>
      <c r="M22" s="66">
        <f>GETPIVOTDATA("Значение",Лист1!$B$2,"Серия","Экспресс","Тип_шкафа","2-х дверный купе","Ширина",1200,"Высота",2400,"Глубина",440,"Наименование шкафа на сайте","Экспресс 2-х дверный (ЛДСП, Зеркало)","Признак_ВИ_Шкафа","Новый вариант")</f>
        <v>18630</v>
      </c>
      <c r="N22" s="33"/>
    </row>
    <row r="23" spans="1:14" ht="17.25" customHeight="1" x14ac:dyDescent="0.3">
      <c r="A23" s="584"/>
      <c r="B23" s="362"/>
      <c r="C23" s="363"/>
      <c r="D23" s="525"/>
      <c r="E23" s="12">
        <v>1400</v>
      </c>
      <c r="F23" s="18">
        <f>GETPIVOTDATA("Значение",Лист1!$B$2,"Серия","Экспресс","Тип_шкафа","2-х дверный купе","Ширина",1400,"Высота",2200,"Глубина",600,"Наименование шкафа на сайте","Экспресс 2-х дверный (ЛДСП, Зеркало)","Признак_ВИ_Шкафа","Основной вариант")</f>
        <v>20210</v>
      </c>
      <c r="G23" s="19">
        <f>GETPIVOTDATA("Значение",Лист1!$B$2,"Серия","Экспресс","Тип_шкафа","2-х дверный купе","Ширина",1400,"Высота",2400,"Глубина",600,"Наименование шкафа на сайте","Экспресс 2-х дверный (ЛДСП, Зеркало)","Признак_ВИ_Шкафа","Основной вариант")</f>
        <v>22170</v>
      </c>
      <c r="H23" s="21">
        <f>GETPIVOTDATA("Значение",Лист1!$B$2,"Серия","Экспресс","Тип_шкафа","2-х дверный купе","Ширина",1400,"Высота",2200,"Глубина",440,"Наименование шкафа на сайте","Экспресс 2-х дверный (ЛДСП, Зеркало)","Признак_ВИ_Шкафа","Основной вариант")</f>
        <v>17960</v>
      </c>
      <c r="I23" s="19">
        <f>GETPIVOTDATA("Значение",Лист1!$B$2,"Серия","Экспресс","Тип_шкафа","2-х дверный купе","Ширина",1400,"Высота",2400,"Глубина",440,"Наименование шкафа на сайте","Экспресс 2-х дверный (ЛДСП, Зеркало)","Признак_ВИ_Шкафа","Основной вариант")</f>
        <v>19090</v>
      </c>
      <c r="J23" s="18">
        <f>GETPIVOTDATA("Значение",Лист1!$B$2,"Серия","Экспресс","Тип_шкафа","2-х дверный купе","Ширина",1400,"Высота",2200,"Глубина",600,"Наименование шкафа на сайте","Экспресс 2-х дверный (ЛДСП, Зеркало)","Признак_ВИ_Шкафа","Новый вариант")</f>
        <v>22050</v>
      </c>
      <c r="K23" s="15">
        <f>GETPIVOTDATA("Значение",Лист1!$B$2,"Серия","Экспресс","Тип_шкафа","2-х дверный купе","Ширина",1400,"Высота",2400,"Глубина",600,"Наименование шкафа на сайте","Экспресс 2-х дверный (ЛДСП, Зеркало)","Признак_ВИ_Шкафа","Новый вариант")</f>
        <v>24210</v>
      </c>
      <c r="L23" s="18">
        <f>GETPIVOTDATA("Значение",Лист1!$B$2,"Серия","Экспресс","Тип_шкафа","2-х дверный купе","Ширина",1400,"Высота",2200,"Глубина",440,"Наименование шкафа на сайте","Экспресс 2-х дверный (ЛДСП, Зеркало)","Признак_ВИ_Шкафа","Новый вариант")</f>
        <v>19530</v>
      </c>
      <c r="M23" s="15">
        <f>GETPIVOTDATA("Значение",Лист1!$B$2,"Серия","Экспресс","Тип_шкафа","2-х дверный купе","Ширина",1400,"Высота",2400,"Глубина",440,"Наименование шкафа на сайте","Экспресс 2-х дверный (ЛДСП, Зеркало)","Признак_ВИ_Шкафа","Новый вариант")</f>
        <v>20750</v>
      </c>
      <c r="N23" s="33"/>
    </row>
    <row r="24" spans="1:14" ht="17.25" customHeight="1" x14ac:dyDescent="0.3">
      <c r="A24" s="584"/>
      <c r="B24" s="362"/>
      <c r="C24" s="363"/>
      <c r="D24" s="525"/>
      <c r="E24" s="12">
        <v>1600</v>
      </c>
      <c r="F24" s="21">
        <f>GETPIVOTDATA("Значение",Лист1!$B$2,"Серия","Экспресс","Тип_шкафа","2-х дверный купе","Ширина",1600,"Высота",2200,"Глубина",600,"Наименование шкафа на сайте","Экспресс 2-х дверный (ЛДСП, Зеркало)","Признак_ВИ_Шкафа","Основной вариант")</f>
        <v>22630</v>
      </c>
      <c r="G24" s="19">
        <f>GETPIVOTDATA("Значение",Лист1!$B$2,"Серия","Экспресс","Тип_шкафа","2-х дверный купе","Ширина",1600,"Высота",2400,"Глубина",600,"Наименование шкафа на сайте","Экспресс 2-х дверный (ЛДСП, Зеркало)","Признак_ВИ_Шкафа","Основной вариант")</f>
        <v>24600</v>
      </c>
      <c r="H24" s="21">
        <f>GETPIVOTDATA("Значение",Лист1!$B$2,"Серия","Экспресс","Тип_шкафа","2-х дверный купе","Ширина",1600,"Высота",2200,"Глубина",440,"Наименование шкафа на сайте","Экспресс 2-х дверный (ЛДСП, Зеркало)","Признак_ВИ_Шкафа","Основной вариант")</f>
        <v>20200</v>
      </c>
      <c r="I24" s="19">
        <f>GETPIVOTDATA("Значение",Лист1!$B$2,"Серия","Экспресс","Тип_шкафа","2-х дверный купе","Ширина",1600,"Высота",2400,"Глубина",440,"Наименование шкафа на сайте","Экспресс 2-х дверный (ЛДСП, Зеркало)","Признак_ВИ_Шкафа","Основной вариант")</f>
        <v>21330</v>
      </c>
      <c r="J24" s="21">
        <f>GETPIVOTDATA("Значение",Лист1!$B$2,"Серия","Экспресс","Тип_шкафа","2-х дверный купе","Ширина",1600,"Высота",2200,"Глубина",600,"Наименование шкафа на сайте","Экспресс 2-х дверный (ЛДСП, Зеркало)","Признак_ВИ_Шкафа","Новый вариант")</f>
        <v>24660</v>
      </c>
      <c r="K24" s="19">
        <f>GETPIVOTDATA("Значение",Лист1!$B$2,"Серия","Экспресс","Тип_шкафа","2-х дверный купе","Ширина",1600,"Высота",2400,"Глубина",600,"Наименование шкафа на сайте","Экспресс 2-х дверный (ЛДСП, Зеркало)","Признак_ВИ_Шкафа","Новый вариант")</f>
        <v>26780</v>
      </c>
      <c r="L24" s="21">
        <f>GETPIVOTDATA("Значение",Лист1!$B$2,"Серия","Экспресс","Тип_шкафа","2-х дверный купе","Ширина",1600,"Высота",2200,"Глубина",440,"Наименование шкафа на сайте","Экспресс 2-х дверный (ЛДСП, Зеркало)","Признак_ВИ_Шкафа","Новый вариант")</f>
        <v>21950</v>
      </c>
      <c r="M24" s="19">
        <f>GETPIVOTDATA("Значение",Лист1!$B$2,"Серия","Экспресс","Тип_шкафа","2-х дверный купе","Ширина",1600,"Высота",2400,"Глубина",440,"Наименование шкафа на сайте","Экспресс 2-х дверный (ЛДСП, Зеркало)","Признак_ВИ_Шкафа","Новый вариант")</f>
        <v>23150</v>
      </c>
      <c r="N24" s="33"/>
    </row>
    <row r="25" spans="1:14" ht="17.25" customHeight="1" x14ac:dyDescent="0.3">
      <c r="A25" s="584"/>
      <c r="B25" s="358"/>
      <c r="C25" s="359"/>
      <c r="D25" s="533"/>
      <c r="E25" s="12">
        <v>1800</v>
      </c>
      <c r="F25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2-х дверный (Зеркало, ЛДСП)","Признак_ВИ_Шкафа","Основной вариант")</f>
        <v>25020</v>
      </c>
      <c r="G25" s="19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2-х дверный (Зеркало, ЛДСП)","Признак_ВИ_Шкафа","Основной вариант")</f>
        <v>27200</v>
      </c>
      <c r="H25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2-х дверный (Зеркало, ЛДСП)","Признак_ВИ_Шкафа","Основной вариант")</f>
        <v>22150</v>
      </c>
      <c r="I25" s="19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2-х дверный (Зеркало, ЛДСП)","Признак_ВИ_Шкафа","Основной вариант")</f>
        <v>23430</v>
      </c>
      <c r="J25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2-х дверный (Зеркало, ЛДСП)","Признак_ВИ_Шкафа","Новый вариант")</f>
        <v>27300</v>
      </c>
      <c r="K25" s="19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2-х дверный (Зеркало, ЛДСП)","Признак_ВИ_Шкафа","Новый вариант")</f>
        <v>29660</v>
      </c>
      <c r="L25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2-х дверный (Зеркало, ЛДСП)","Признак_ВИ_Шкафа","Новый вариант")</f>
        <v>24100</v>
      </c>
      <c r="M25" s="19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2-х дверный (Зеркало, ЛДСП)","Признак_ВИ_Шкафа","Новый вариант")</f>
        <v>25450</v>
      </c>
      <c r="N25" s="33"/>
    </row>
    <row r="26" spans="1:14" ht="17.25" customHeight="1" x14ac:dyDescent="0.3">
      <c r="A26" s="584"/>
      <c r="B26" s="360"/>
      <c r="C26" s="361"/>
      <c r="D26" s="534" t="s">
        <v>72</v>
      </c>
      <c r="E26" s="12">
        <v>1200</v>
      </c>
      <c r="F26" s="75">
        <f>GETPIVOTDATA("Значение",Лист1!$B$2,"Серия","Экспресс","Тип_шкафа","2-х дверный купе","Ширина",1200,"Высота",2200,"Глубина",600,"Наименование шкафа на сайте","Экспресс 2-х дверный (Зеркало)","Признак_ВИ_Шкафа","Основной вариант")</f>
        <v>18720</v>
      </c>
      <c r="G26" s="28">
        <f>GETPIVOTDATA("Значение",Лист1!$B$2,"Серия","Экспресс","Тип_шкафа","2-х дверный купе","Ширина",1200,"Высота",2400,"Глубина",600,"Наименование шкафа на сайте","Экспресс 2-х дверный (Зеркало)","Признак_ВИ_Шкафа","Основной вариант")</f>
        <v>20520</v>
      </c>
      <c r="H26" s="31">
        <f>GETPIVOTDATA("Значение",Лист1!$B$2,"Серия","Экспресс","Тип_шкафа","2-х дверный купе","Ширина",1200,"Высота",2200,"Глубина",440,"Наименование шкафа на сайте","Экспресс 2-х дверный (Зеркало)","Признак_ВИ_Шкафа","Основной вариант")</f>
        <v>16680</v>
      </c>
      <c r="I26" s="28">
        <f>GETPIVOTDATA("Значение",Лист1!$B$2,"Серия","Экспресс","Тип_шкафа","2-х дверный купе","Ширина",1200,"Высота",2400,"Глубина",440,"Наименование шкафа на сайте","Экспресс 2-х дверный (Зеркало)","Признак_ВИ_Шкафа","Основной вариант")</f>
        <v>18160</v>
      </c>
      <c r="J26" s="75">
        <f>GETPIVOTDATA("Значение",Лист1!$B$2,"Серия","Экспресс","Тип_шкафа","2-х дверный купе","Ширина",1200,"Высота",2200,"Глубина",600,"Наименование шкафа на сайте","Экспресс 2-х дверный (Зеркало)","Признак_ВИ_Шкафа","Новый вариант")</f>
        <v>19980</v>
      </c>
      <c r="K26" s="66">
        <f>GETPIVOTDATA("Значение",Лист1!$B$2,"Серия","Экспресс","Тип_шкафа","2-х дверный купе","Ширина",1200,"Высота",2400,"Глубина",600,"Наименование шкафа на сайте","Экспресс 2-х дверный (Зеркало)","Признак_ВИ_Шкафа","Новый вариант")</f>
        <v>21880</v>
      </c>
      <c r="L26" s="75">
        <f>GETPIVOTDATA("Значение",Лист1!$B$2,"Серия","Экспресс","Тип_шкафа","2-х дверный купе","Ширина",1200,"Высота",2200,"Глубина",440,"Наименование шкафа на сайте","Экспресс 2-х дверный (Зеркало)","Признак_ВИ_Шкафа","Новый вариант")</f>
        <v>17700</v>
      </c>
      <c r="M26" s="66">
        <f>GETPIVOTDATA("Значение",Лист1!$B$2,"Серия","Экспресс","Тип_шкафа","2-х дверный купе","Ширина",1200,"Высота",2400,"Глубина",440,"Наименование шкафа на сайте","Экспресс 2-х дверный (Зеркало)","Признак_ВИ_Шкафа","Новый вариант")</f>
        <v>19260</v>
      </c>
      <c r="N26" s="33"/>
    </row>
    <row r="27" spans="1:14" ht="17.25" customHeight="1" x14ac:dyDescent="0.3">
      <c r="A27" s="584"/>
      <c r="B27" s="362"/>
      <c r="C27" s="363"/>
      <c r="D27" s="525"/>
      <c r="E27" s="12">
        <v>1400</v>
      </c>
      <c r="F27" s="18">
        <f>GETPIVOTDATA("Значение",Лист1!$B$2,"Серия","Экспресс","Тип_шкафа","2-х дверный купе","Ширина",1400,"Высота",2200,"Глубина",600,"Наименование шкафа на сайте","Экспресс 2-х дверный (Зеркало)","Признак_ВИ_Шкафа","Основной вариант")</f>
        <v>20960</v>
      </c>
      <c r="G27" s="19">
        <f>GETPIVOTDATA("Значение",Лист1!$B$2,"Серия","Экспресс","Тип_шкафа","2-х дверный купе","Ширина",1400,"Высота",2400,"Глубина",600,"Наименование шкафа на сайте","Экспресс 2-х дверный (Зеркало)","Признак_ВИ_Шкафа","Основной вариант")</f>
        <v>22930</v>
      </c>
      <c r="H27" s="21">
        <f>GETPIVOTDATA("Значение",Лист1!$B$2,"Серия","Экспресс","Тип_шкафа","2-х дверный купе","Ширина",1400,"Высота",2200,"Глубина",440,"Наименование шкафа на сайте","Экспресс 2-х дверный (Зеркало)","Признак_ВИ_Шкафа","Основной вариант")</f>
        <v>18710</v>
      </c>
      <c r="I27" s="19">
        <f>GETPIVOTDATA("Значение",Лист1!$B$2,"Серия","Экспресс","Тип_шкафа","2-х дверный купе","Ширина",1400,"Высота",2400,"Глубина",440,"Наименование шкафа на сайте","Экспресс 2-х дверный (Зеркало)","Признак_ВИ_Шкафа","Основной вариант")</f>
        <v>19850</v>
      </c>
      <c r="J27" s="18">
        <f>GETPIVOTDATA("Значение",Лист1!$B$2,"Серия","Экспресс","Тип_шкафа","2-х дверный купе","Ширина",1400,"Высота",2200,"Глубина",600,"Наименование шкафа на сайте","Экспресс 2-х дверный (Зеркало)","Признак_ВИ_Шкафа","Новый вариант")</f>
        <v>22320</v>
      </c>
      <c r="K27" s="15">
        <f>GETPIVOTDATA("Значение",Лист1!$B$2,"Серия","Экспресс","Тип_шкафа","2-х дверный купе","Ширина",1400,"Высота",2400,"Глубина",600,"Наименование шкафа на сайте","Экспресс 2-х дверный (Зеркало)","Признак_ВИ_Шкафа","Новый вариант")</f>
        <v>24420</v>
      </c>
      <c r="L27" s="18">
        <f>GETPIVOTDATA("Значение",Лист1!$B$2,"Серия","Экспресс","Тип_шкафа","2-х дверный купе","Ширина",1400,"Высота",2200,"Глубина",440,"Наименование шкафа на сайте","Экспресс 2-х дверный (Зеркало)","Признак_ВИ_Шкафа","Новый вариант")</f>
        <v>19800</v>
      </c>
      <c r="M27" s="15">
        <f>GETPIVOTDATA("Значение",Лист1!$B$2,"Серия","Экспресс","Тип_шкафа","2-х дверный купе","Ширина",1400,"Высота",2400,"Глубина",440,"Наименование шкафа на сайте","Экспресс 2-х дверный (Зеркало)","Признак_ВИ_Шкафа","Новый вариант")</f>
        <v>20960</v>
      </c>
      <c r="N27" s="33"/>
    </row>
    <row r="28" spans="1:14" ht="17.25" customHeight="1" x14ac:dyDescent="0.3">
      <c r="A28" s="584"/>
      <c r="B28" s="362"/>
      <c r="C28" s="363"/>
      <c r="D28" s="525"/>
      <c r="E28" s="12">
        <v>1600</v>
      </c>
      <c r="F28" s="18">
        <f>GETPIVOTDATA("Значение",Лист1!$B$2,"Серия","Экспресс","Тип_шкафа","2-х дверный купе","Ширина",1600,"Высота",2200,"Глубина",600,"Наименование шкафа на сайте","Экспресс 2-х дверный (Зеркало)","Признак_ВИ_Шкафа","Основной вариант")</f>
        <v>23540</v>
      </c>
      <c r="G28" s="15">
        <f>GETPIVOTDATA("Значение",Лист1!$B$2,"Серия","Экспресс","Тип_шкафа","2-х дверный купе","Ширина",1600,"Высота",2400,"Глубина",600,"Наименование шкафа на сайте","Экспресс 2-х дверный (Зеркало)","Признак_ВИ_Шкафа","Основной вариант")</f>
        <v>25500</v>
      </c>
      <c r="H28" s="18">
        <f>GETPIVOTDATA("Значение",Лист1!$B$2,"Серия","Экспресс","Тип_шкафа","2-х дверный купе","Ширина",1600,"Высота",2200,"Глубина",440,"Наименование шкафа на сайте","Экспресс 2-х дверный (Зеркало)","Признак_ВИ_Шкафа","Основной вариант")</f>
        <v>21110</v>
      </c>
      <c r="I28" s="15">
        <f>GETPIVOTDATA("Значение",Лист1!$B$2,"Серия","Экспресс","Тип_шкафа","2-х дверный купе","Ширина",1600,"Высота",2400,"Глубина",440,"Наименование шкафа на сайте","Экспресс 2-х дверный (Зеркало)","Признак_ВИ_Шкафа","Основной вариант")</f>
        <v>22230</v>
      </c>
      <c r="J28" s="18">
        <f>GETPIVOTDATA("Значение",Лист1!$B$2,"Серия","Экспресс","Тип_шкафа","2-х дверный купе","Ширина",1600,"Высота",2200,"Глубина",600,"Наименование шкафа на сайте","Экспресс 2-х дверный (Зеркало)","Признак_ВИ_Шкафа","Новый вариант")</f>
        <v>24980</v>
      </c>
      <c r="K28" s="15">
        <f>GETPIVOTDATA("Значение",Лист1!$B$2,"Серия","Экспресс","Тип_шкафа","2-х дверный купе","Ширина",1600,"Высота",2400,"Глубина",600,"Наименование шкафа на сайте","Экспресс 2-х дверный (Зеркало)","Признак_ВИ_Шкафа","Новый вариант")</f>
        <v>27050</v>
      </c>
      <c r="L28" s="18">
        <f>GETPIVOTDATA("Значение",Лист1!$B$2,"Серия","Экспресс","Тип_шкафа","2-х дверный купе","Ширина",1600,"Высота",2200,"Глубина",440,"Наименование шкафа на сайте","Экспресс 2-х дверный (Зеркало)","Признак_ВИ_Шкафа","Новый вариант")</f>
        <v>22270</v>
      </c>
      <c r="M28" s="15">
        <f>GETPIVOTDATA("Значение",Лист1!$B$2,"Серия","Экспресс","Тип_шкафа","2-х дверный купе","Ширина",1600,"Высота",2400,"Глубина",440,"Наименование шкафа на сайте","Экспресс 2-х дверный (Зеркало)","Признак_ВИ_Шкафа","Новый вариант")</f>
        <v>23420</v>
      </c>
      <c r="N28" s="33"/>
    </row>
    <row r="29" spans="1:14" ht="17.25" customHeight="1" x14ac:dyDescent="0.3">
      <c r="A29" s="584"/>
      <c r="B29" s="358"/>
      <c r="C29" s="359"/>
      <c r="D29" s="533"/>
      <c r="E29" s="12">
        <v>1800</v>
      </c>
      <c r="F29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2-х дверный (Зеркало)","Признак_ВИ_Шкафа","Основной вариант")</f>
        <v>25990</v>
      </c>
      <c r="G29" s="19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2-х дверный (Зеркало)","Признак_ВИ_Шкафа","Основной вариант")</f>
        <v>28160</v>
      </c>
      <c r="H29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2-х дверный (Зеркало)","Признак_ВИ_Шкафа","Основной вариант")</f>
        <v>23120</v>
      </c>
      <c r="I29" s="19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2-х дверный (Зеркало)","Признак_ВИ_Шкафа","Основной вариант")</f>
        <v>24390</v>
      </c>
      <c r="J29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2-х дверный (Зеркало)","Признак_ВИ_Шкафа","Новый вариант")</f>
        <v>27640</v>
      </c>
      <c r="K29" s="19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2-х дверный (Зеркало)","Признак_ВИ_Шкафа","Новый вариант")</f>
        <v>29950</v>
      </c>
      <c r="L29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2-х дверный (Зеркало)","Признак_ВИ_Шкафа","Новый вариант")</f>
        <v>24440</v>
      </c>
      <c r="M29" s="19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2-х дверный (Зеркало)","Признак_ВИ_Шкафа","Новый вариант")</f>
        <v>25740</v>
      </c>
      <c r="N29" s="33"/>
    </row>
    <row r="30" spans="1:14" ht="17.25" customHeight="1" x14ac:dyDescent="0.3">
      <c r="A30" s="584"/>
      <c r="B30" s="530"/>
      <c r="C30" s="586"/>
      <c r="D30" s="531" t="s">
        <v>67</v>
      </c>
      <c r="E30" s="12">
        <v>1200</v>
      </c>
      <c r="F30" s="75">
        <f>GETPIVOTDATA("Значение",Лист1!$B$2,"Серия","Экспресс","Тип_шкафа","2-х дверный купе","Ширина",1200,"Высота",2200,"Глубина",600,"Наименование шкафа на сайте","Экспресс 2-х дверный (Фото№1001 Абстракция серая)","Признак_ВИ_Шкафа","Основной вариант")</f>
        <v>21880</v>
      </c>
      <c r="G30" s="28">
        <f>GETPIVOTDATA("Значение",Лист1!$B$2,"Серия","Экспресс","Тип_шкафа","2-х дверный купе","Ширина",1200,"Высота",2400,"Глубина",600,"Наименование шкафа на сайте","Экспресс 2-х дверный (Фото№1001 Абстракция серая)","Признак_ВИ_Шкафа","Основной вариант")</f>
        <v>23830</v>
      </c>
      <c r="H30" s="31">
        <f>GETPIVOTDATA("Значение",Лист1!$B$2,"Серия","Экспресс","Тип_шкафа","2-х дверный купе","Ширина",1200,"Высота",2200,"Глубина",440,"Наименование шкафа на сайте","Экспресс 2-х дверный (Фото№1001 Абстракция серая)","Признак_ВИ_Шкафа","Основной вариант")</f>
        <v>19840</v>
      </c>
      <c r="I30" s="28">
        <f>GETPIVOTDATA("Значение",Лист1!$B$2,"Серия","Экспресс","Тип_шкафа","2-х дверный купе","Ширина",1200,"Высота",2400,"Глубина",440,"Наименование шкафа на сайте","Экспресс 2-х дверный (Фото№1001 Абстракция серая)","Признак_ВИ_Шкафа","Основной вариант")</f>
        <v>21470</v>
      </c>
      <c r="J30" s="75">
        <f>GETPIVOTDATA("Значение",Лист1!$B$2,"Серия","Экспресс","Тип_шкафа","2-х дверный купе","Ширина",1200,"Высота",2200,"Глубина",600,"Наименование шкафа на сайте","Экспресс 2-х дверный (Фото№1001 Абстракция серая)","Признак_ВИ_Шкафа","Новый вариант")</f>
        <v>23140</v>
      </c>
      <c r="K30" s="66">
        <f>GETPIVOTDATA("Значение",Лист1!$B$2,"Серия","Экспресс","Тип_шкафа","2-х дверный купе","Ширина",1200,"Высота",2400,"Глубина",600,"Наименование шкафа на сайте","Экспресс 2-х дверный (Фото№1001 Абстракция серая)","Признак_ВИ_Шкафа","Новый вариант")</f>
        <v>25190</v>
      </c>
      <c r="L30" s="75">
        <f>GETPIVOTDATA("Значение",Лист1!$B$2,"Серия","Экспресс","Тип_шкафа","2-х дверный купе","Ширина",1200,"Высота",2200,"Глубина",440,"Наименование шкафа на сайте","Экспресс 2-х дверный (Фото№1001 Абстракция серая)","Признак_ВИ_Шкафа","Новый вариант")</f>
        <v>20860</v>
      </c>
      <c r="M30" s="66">
        <f>GETPIVOTDATA("Значение",Лист1!$B$2,"Серия","Экспресс","Тип_шкафа","2-х дверный купе","Ширина",1200,"Высота",2400,"Глубина",440,"Наименование шкафа на сайте","Экспресс 2-х дверный (Фото№1001 Абстракция серая)","Признак_ВИ_Шкафа","Новый вариант")</f>
        <v>22570</v>
      </c>
      <c r="N30" s="32"/>
    </row>
    <row r="31" spans="1:14" ht="17.25" customHeight="1" x14ac:dyDescent="0.3">
      <c r="A31" s="584"/>
      <c r="B31" s="530"/>
      <c r="C31" s="586"/>
      <c r="D31" s="531"/>
      <c r="E31" s="12">
        <v>1400</v>
      </c>
      <c r="F31" s="18">
        <f>GETPIVOTDATA("Значение",Лист1!$B$2,"Серия","Экспресс","Тип_шкафа","2-х дверный купе","Ширина",1400,"Высота",2200,"Глубина",600,"Наименование шкафа на сайте","Экспресс 2-х дверный (Фото№1001 Абстракция серая)","Признак_ВИ_Шкафа","Основной вариант")</f>
        <v>25030</v>
      </c>
      <c r="G31" s="19">
        <f>GETPIVOTDATA("Значение",Лист1!$B$2,"Серия","Экспресс","Тип_шкафа","2-х дверный купе","Ширина",1400,"Высота",2400,"Глубина",600,"Наименование шкафа на сайте","Экспресс 2-х дверный (Фото№1001 Абстракция серая)","Признак_ВИ_Шкафа","Основной вариант")</f>
        <v>27270</v>
      </c>
      <c r="H31" s="21">
        <f>GETPIVOTDATA("Значение",Лист1!$B$2,"Серия","Экспресс","Тип_шкафа","2-х дверный купе","Ширина",1400,"Высота",2200,"Глубина",440,"Наименование шкафа на сайте","Экспресс 2-х дверный (Фото№1001 Абстракция серая)","Признак_ВИ_Шкафа","Основной вариант")</f>
        <v>22780</v>
      </c>
      <c r="I31" s="19">
        <f>GETPIVOTDATA("Значение",Лист1!$B$2,"Серия","Экспресс","Тип_шкафа","2-х дверный купе","Ширина",1400,"Высота",2400,"Глубина",440,"Наименование шкафа на сайте","Экспресс 2-х дверный (Фото№1001 Абстракция серая)","Признак_ВИ_Шкафа","Основной вариант")</f>
        <v>24190</v>
      </c>
      <c r="J31" s="18">
        <f>GETPIVOTDATA("Значение",Лист1!$B$2,"Серия","Экспресс","Тип_шкафа","2-х дверный купе","Ширина",1400,"Высота",2200,"Глубина",600,"Наименование шкафа на сайте","Экспресс 2-х дверный (Фото№1001 Абстракция серая)","Признак_ВИ_Шкафа","Новый вариант")</f>
        <v>26390</v>
      </c>
      <c r="K31" s="15">
        <f>GETPIVOTDATA("Значение",Лист1!$B$2,"Серия","Экспресс","Тип_шкафа","2-х дверный купе","Ширина",1400,"Высота",2400,"Глубина",600,"Наименование шкафа на сайте","Экспресс 2-х дверный (Фото№1001 Абстракция серая)","Признак_ВИ_Шкафа","Новый вариант")</f>
        <v>28760</v>
      </c>
      <c r="L31" s="18">
        <f>GETPIVOTDATA("Значение",Лист1!$B$2,"Серия","Экспресс","Тип_шкафа","2-х дверный купе","Ширина",1400,"Высота",2200,"Глубина",440,"Наименование шкафа на сайте","Экспресс 2-х дверный (Фото№1001 Абстракция серая)","Признак_ВИ_Шкафа","Новый вариант")</f>
        <v>23870</v>
      </c>
      <c r="M31" s="15">
        <f>GETPIVOTDATA("Значение",Лист1!$B$2,"Серия","Экспресс","Тип_шкафа","2-х дверный купе","Ширина",1400,"Высота",2400,"Глубина",440,"Наименование шкафа на сайте","Экспресс 2-х дверный (Фото№1001 Абстракция серая)","Признак_ВИ_Шкафа","Новый вариант")</f>
        <v>25300</v>
      </c>
      <c r="N31" s="32"/>
    </row>
    <row r="32" spans="1:14" ht="17.25" customHeight="1" thickBot="1" x14ac:dyDescent="0.35">
      <c r="A32" s="603"/>
      <c r="B32" s="385"/>
      <c r="C32" s="587"/>
      <c r="D32" s="604"/>
      <c r="E32" s="10">
        <v>1600</v>
      </c>
      <c r="F32" s="18">
        <f>GETPIVOTDATA("Значение",Лист1!$B$2,"Серия","Экспресс","Тип_шкафа","2-х дверный купе","Ширина",1600,"Высота",2200,"Глубина",600,"Наименование шкафа на сайте","Экспресс 2-х дверный (Фото№1001 Абстракция серая)","Признак_ВИ_Шкафа","Основной вариант")</f>
        <v>27450</v>
      </c>
      <c r="G32" s="19">
        <f>GETPIVOTDATA("Значение",Лист1!$B$2,"Серия","Экспресс","Тип_шкафа","2-х дверный купе","Ширина",1600,"Высота",2400,"Глубина",600,"Наименование шкафа на сайте","Экспресс 2-х дверный (Фото№1001 Абстракция серая)","Признак_ВИ_Шкафа","Основной вариант")</f>
        <v>29880</v>
      </c>
      <c r="H32" s="21">
        <f>GETPIVOTDATA("Значение",Лист1!$B$2,"Серия","Экспресс","Тип_шкафа","2-х дверный купе","Ширина",1600,"Высота",2200,"Глубина",440,"Наименование шкафа на сайте","Экспресс 2-х дверный (Фото№1001 Абстракция серая)","Признак_ВИ_Шкафа","Основной вариант")</f>
        <v>25020</v>
      </c>
      <c r="I32" s="19">
        <f>GETPIVOTDATA("Значение",Лист1!$B$2,"Серия","Экспресс","Тип_шкафа","2-х дверный купе","Ширина",1600,"Высота",2400,"Глубина",440,"Наименование шкафа на сайте","Экспресс 2-х дверный (Фото№1001 Абстракция серая)","Признак_ВИ_Шкафа","Основной вариант")</f>
        <v>26610</v>
      </c>
      <c r="J32" s="18">
        <f>GETPIVOTDATA("Значение",Лист1!$B$2,"Серия","Экспресс","Тип_шкафа","2-х дверный купе","Ширина",1600,"Высота",2200,"Глубина",600,"Наименование шкафа на сайте","Экспресс 2-х дверный (Фото№1001 Абстракция серая)","Признак_ВИ_Шкафа","Новый вариант")</f>
        <v>28890</v>
      </c>
      <c r="K32" s="15">
        <f>GETPIVOTDATA("Значение",Лист1!$B$2,"Серия","Экспресс","Тип_шкафа","2-х дверный купе","Ширина",1600,"Высота",2400,"Глубина",600,"Наименование шкафа на сайте","Экспресс 2-х дверный (Фото№1001 Абстракция серая)","Признак_ВИ_Шкафа","Новый вариант")</f>
        <v>31430</v>
      </c>
      <c r="L32" s="18">
        <f>GETPIVOTDATA("Значение",Лист1!$B$2,"Серия","Экспресс","Тип_шкафа","2-х дверный купе","Ширина",1600,"Высота",2200,"Глубина",440,"Наименование шкафа на сайте","Экспресс 2-х дверный (Фото№1001 Абстракция серая)","Признак_ВИ_Шкафа","Новый вариант")</f>
        <v>26180</v>
      </c>
      <c r="M32" s="15">
        <f>GETPIVOTDATA("Значение",Лист1!$B$2,"Серия","Экспресс","Тип_шкафа","2-х дверный купе","Ширина",1600,"Высота",2400,"Глубина",440,"Наименование шкафа на сайте","Экспресс 2-х дверный (Фото№1001 Абстракция серая)","Признак_ВИ_Шкафа","Новый вариант")</f>
        <v>27800</v>
      </c>
      <c r="N32" s="32"/>
    </row>
    <row r="33" spans="1:14" ht="16.5" customHeight="1" x14ac:dyDescent="0.3">
      <c r="A33" s="583" t="s">
        <v>1</v>
      </c>
      <c r="B33" s="366"/>
      <c r="C33" s="606"/>
      <c r="D33" s="610" t="s">
        <v>71</v>
      </c>
      <c r="E33" s="14">
        <v>1800</v>
      </c>
      <c r="F33" s="24">
        <f>GETPIVOTDATA("Значение",Лист1!$B$2,"Серия","Экспресс","Тип_шкафа","3-х дверный купе","Ширина",1800,"Высота",2200,"Глубина",600,"Наименование шкафа на сайте","Экспресс 3-х дверный (ЛДСП)","Признак_ВИ_Шкафа","Основной вариант")</f>
        <v>23250</v>
      </c>
      <c r="G33" s="22">
        <f>GETPIVOTDATA("Значение",Лист1!$B$2,"Серия","Экспресс","Тип_шкафа","3-х дверный купе","Ширина",1800,"Высота",2400,"Глубина",600,"Наименование шкафа на сайте","Экспресс 3-х дверный (ЛДСП)","Признак_ВИ_Шкафа","Основной вариант")</f>
        <v>25360</v>
      </c>
      <c r="H33" s="24">
        <f>GETPIVOTDATA("Значение",Лист1!$B$2,"Серия","Экспресс","Тип_шкафа","3-х дверный купе","Ширина",1800,"Высота",2200,"Глубина",440,"Наименование шкафа на сайте","Экспресс 3-х дверный (ЛДСП)","Признак_ВИ_Шкафа","Основной вариант")</f>
        <v>20380</v>
      </c>
      <c r="I33" s="22">
        <f>GETPIVOTDATA("Значение",Лист1!$B$2,"Серия","Экспресс","Тип_шкафа","3-х дверный купе","Ширина",1800,"Высота",2400,"Глубина",440,"Наименование шкафа на сайте","Экспресс 3-х дверный (ЛДСП)","Признак_ВИ_Шкафа","Основной вариант")</f>
        <v>21590</v>
      </c>
      <c r="J33" s="24">
        <f>GETPIVOTDATA("Значение",Лист1!$B$2,"Серия","Экспресс","Тип_шкафа","3-х дверный купе","Ширина",1800,"Высота",2200,"Глубина",600,"Наименование шкафа на сайте","Экспресс 3-х дверный (ЛДСП)","Признак_ВИ_Шкафа","Новый вариант")</f>
        <v>26040</v>
      </c>
      <c r="K33" s="22">
        <f>GETPIVOTDATA("Значение",Лист1!$B$2,"Серия","Экспресс","Тип_шкафа","3-х дверный купе","Ширина",1800,"Высота",2400,"Глубина",600,"Наименование шкафа на сайте","Экспресс 3-х дверный (ЛДСП)","Признак_ВИ_Шкафа","Новый вариант")</f>
        <v>28410</v>
      </c>
      <c r="L33" s="24">
        <f>GETPIVOTDATA("Значение",Лист1!$B$2,"Серия","Экспресс","Тип_шкафа","3-х дверный купе","Ширина",1800,"Высота",2200,"Глубина",440,"Наименование шкафа на сайте","Экспресс 3-х дверный (ЛДСП)","Признак_ВИ_Шкафа","Новый вариант")</f>
        <v>22840</v>
      </c>
      <c r="M33" s="22">
        <f>GETPIVOTDATA("Значение",Лист1!$B$2,"Серия","Экспресс","Тип_шкафа","3-х дверный купе","Ширина",1800,"Высота",2400,"Глубина",440,"Наименование шкафа на сайте","Экспресс 3-х дверный (ЛДСП)","Признак_ВИ_Шкафа","Новый вариант")</f>
        <v>24200</v>
      </c>
      <c r="N33" s="32" t="s">
        <v>0</v>
      </c>
    </row>
    <row r="34" spans="1:14" ht="16.5" customHeight="1" x14ac:dyDescent="0.3">
      <c r="A34" s="584"/>
      <c r="B34" s="530"/>
      <c r="C34" s="586"/>
      <c r="D34" s="531"/>
      <c r="E34" s="12">
        <v>2100</v>
      </c>
      <c r="F34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3-х дверный (ЛДСП)","Признак_ВИ_Шкафа","Основной вариант")</f>
        <v>26700</v>
      </c>
      <c r="G34" s="19">
        <f>GETPIVOTDATA("Значение",Лист1!$B$2,"Серия","Экспресс","Тип_шкафа","3-х дверный купе","Ширина",2100,"Высота",2400,"Глубина",600,"Наименование шкафа на сайте","Экспресс 3-х дверный (ЛДСП)","Признак_ВИ_Шкафа","Основной вариант")</f>
        <v>29410</v>
      </c>
      <c r="H34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3-х дверный (ЛДСП)","Признак_ВИ_Шкафа","Основной вариант")</f>
        <v>23830</v>
      </c>
      <c r="I34" s="19">
        <f>GETPIVOTDATA("Значение",Лист1!$B$2,"Серия","Экспресс","Тип_шкафа","3-х дверный купе","Ширина",2100,"Высота",2400,"Глубина",440,"Наименование шкафа на сайте","Экспресс 3-х дверный (ЛДСП)","Признак_ВИ_Шкафа","Основной вариант")</f>
        <v>25420</v>
      </c>
      <c r="J34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3-х дверный (ЛДСП)","Признак_ВИ_Шкафа","Новый вариант")</f>
        <v>29870</v>
      </c>
      <c r="K34" s="19">
        <f>GETPIVOTDATA("Значение",Лист1!$B$2,"Серия","Экспресс","Тип_шкафа","3-х дверный купе","Ширина",2100,"Высота",2400,"Глубина",600,"Наименование шкафа на сайте","Экспресс 3-х дверный (ЛДСП)","Признак_ВИ_Шкафа","Новый вариант")</f>
        <v>32960</v>
      </c>
      <c r="L34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3-х дверный (ЛДСП)","Признак_ВИ_Шкафа","Новый вариант")</f>
        <v>26660</v>
      </c>
      <c r="M34" s="19">
        <f>GETPIVOTDATA("Значение",Лист1!$B$2,"Серия","Экспресс","Тип_шкафа","3-х дверный купе","Ширина",2100,"Высота",2400,"Глубина",440,"Наименование шкафа на сайте","Экспресс 3-х дверный (ЛДСП)","Признак_ВИ_Шкафа","Новый вариант")</f>
        <v>28490</v>
      </c>
      <c r="N34" s="32"/>
    </row>
    <row r="35" spans="1:14" ht="16.5" customHeight="1" x14ac:dyDescent="0.3">
      <c r="A35" s="584"/>
      <c r="B35" s="530"/>
      <c r="C35" s="586"/>
      <c r="D35" s="531"/>
      <c r="E35" s="12">
        <v>2400</v>
      </c>
      <c r="F35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3-х дверный (ЛДСП)","Признак_ВИ_Шкафа","Основной вариант")</f>
        <v>29860</v>
      </c>
      <c r="G35" s="19">
        <f>GETPIVOTDATA("Значение",Лист1!$B$2,"Серия","Экспресс","Тип_шкафа","3-х дверный купе","Ширина",2400,"Высота",2400,"Глубина",600,"Наименование шкафа на сайте","Экспресс 3-х дверный (ЛДСП)","Признак_ВИ_Шкафа","Основной вариант")</f>
        <v>32590</v>
      </c>
      <c r="H35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3-х дверный (ЛДСП)","Признак_ВИ_Шкафа","Основной вариант")</f>
        <v>26850</v>
      </c>
      <c r="I35" s="19">
        <f>GETPIVOTDATA("Значение",Лист1!$B$2,"Серия","Экспресс","Тип_шкафа","3-х дверный купе","Ширина",2400,"Высота",2400,"Глубина",440,"Наименование шкафа на сайте","Экспресс 3-х дверный (ЛДСП)","Признак_ВИ_Шкафа","Основной вариант")</f>
        <v>28460</v>
      </c>
      <c r="J35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3-х дверный (ЛДСП)","Признак_ВИ_Шкафа","Новый вариант")</f>
        <v>33480</v>
      </c>
      <c r="K35" s="19">
        <f>GETPIVOTDATA("Значение",Лист1!$B$2,"Серия","Экспресс","Тип_шкафа","3-х дверный купе","Ширина",2400,"Высота",2400,"Глубина",600,"Наименование шкафа на сайте","Экспресс 3-х дверный (ЛДСП)","Признак_ВИ_Шкафа","Новый вариант")</f>
        <v>36500</v>
      </c>
      <c r="L35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3-х дверный (ЛДСП)","Признак_ВИ_Шкафа","Новый вариант")</f>
        <v>30100</v>
      </c>
      <c r="M35" s="19">
        <f>GETPIVOTDATA("Значение",Лист1!$B$2,"Серия","Экспресс","Тип_шкафа","3-х дверный купе","Ширина",2400,"Высота",2400,"Глубина",440,"Наименование шкафа на сайте","Экспресс 3-х дверный (ЛДСП)","Признак_ВИ_Шкафа","Новый вариант")</f>
        <v>31860</v>
      </c>
      <c r="N35" s="32"/>
    </row>
    <row r="36" spans="1:14" ht="16.5" customHeight="1" x14ac:dyDescent="0.3">
      <c r="A36" s="584"/>
      <c r="B36" s="530"/>
      <c r="C36" s="586"/>
      <c r="D36" s="531" t="s">
        <v>70</v>
      </c>
      <c r="E36" s="12">
        <v>1800</v>
      </c>
      <c r="F36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3-х дверный (ЛДСП, Зеркало)","Признак_ВИ_Шкафа","Основной вариант")</f>
        <v>24150</v>
      </c>
      <c r="G36" s="19">
        <f>GETPIVOTDATA("Значение",Лист1!$B$2,"Серия","Экспресс","Тип_шкафа","3-х дверный купе","Ширина",1800,"Высота",2400,"Глубина",600,"Наименование шкафа на сайте","Экспресс 3-х дверный (ЛДСП, Зеркало)","Признак_ВИ_Шкафа","Основной вариант")</f>
        <v>26410</v>
      </c>
      <c r="H36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3-х дверный (ЛДСП, Зеркало)","Признак_ВИ_Шкафа","Основной вариант")</f>
        <v>21280</v>
      </c>
      <c r="I36" s="19">
        <f>GETPIVOTDATA("Значение",Лист1!$B$2,"Серия","Экспресс","Тип_шкафа","3-х дверный купе","Ширина",1800,"Высота",2400,"Глубина",440,"Наименование шкафа на сайте","Экспресс 3-х дверный (ЛДСП, Зеркало)","Признак_ВИ_Шкафа","Основной вариант")</f>
        <v>22640</v>
      </c>
      <c r="J36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3-х дверный (ЛДСП, Зеркало)","Признак_ВИ_Шкафа","Новый вариант")</f>
        <v>26560</v>
      </c>
      <c r="K36" s="19">
        <f>GETPIVOTDATA("Значение",Лист1!$B$2,"Серия","Экспресс","Тип_шкафа","3-х дверный купе","Ширина",1800,"Высота",2400,"Глубина",600,"Наименование шкафа на сайте","Экспресс 3-х дверный (ЛДСП, Зеркало)","Признак_ВИ_Шкафа","Новый вариант")</f>
        <v>29040</v>
      </c>
      <c r="L36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3-х дверный (ЛДСП, Зеркало)","Признак_ВИ_Шкафа","Новый вариант")</f>
        <v>23360</v>
      </c>
      <c r="M36" s="19">
        <f>GETPIVOTDATA("Значение",Лист1!$B$2,"Серия","Экспресс","Тип_шкафа","3-х дверный купе","Ширина",1800,"Высота",2400,"Глубина",440,"Наименование шкафа на сайте","Экспресс 3-х дверный (ЛДСП, Зеркало)","Признак_ВИ_Шкафа","Новый вариант")</f>
        <v>24830</v>
      </c>
    </row>
    <row r="37" spans="1:14" ht="16.5" customHeight="1" x14ac:dyDescent="0.3">
      <c r="A37" s="584"/>
      <c r="B37" s="530"/>
      <c r="C37" s="586"/>
      <c r="D37" s="531"/>
      <c r="E37" s="12">
        <v>2100</v>
      </c>
      <c r="F37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3-х дверный (ЛДСП, Зеркало)","Признак_ВИ_Шкафа","Основной вариант")</f>
        <v>27450</v>
      </c>
      <c r="G37" s="19">
        <f>GETPIVOTDATA("Значение",Лист1!$B$2,"Серия","Экспресс","Тип_шкафа","3-х дверный купе","Ширина",2100,"Высота",2400,"Глубина",600,"Наименование шкафа на сайте","Экспресс 3-х дверный (ЛДСП, Зеркало)","Признак_ВИ_Шкафа","Основной вариант")</f>
        <v>30170</v>
      </c>
      <c r="H37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3-х дверный (ЛДСП, Зеркало)","Признак_ВИ_Шкафа","Основной вариант")</f>
        <v>24580</v>
      </c>
      <c r="I37" s="19">
        <f>GETPIVOTDATA("Значение",Лист1!$B$2,"Серия","Экспресс","Тип_шкафа","3-х дверный купе","Ширина",2100,"Высота",2400,"Глубина",440,"Наименование шкафа на сайте","Экспресс 3-х дверный (ЛДСП, Зеркало)","Признак_ВИ_Шкафа","Основной вариант")</f>
        <v>26180</v>
      </c>
      <c r="J37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3-х дверный (ЛДСП, Зеркало)","Признак_ВИ_Шкафа","Новый вариант")</f>
        <v>30140</v>
      </c>
      <c r="K37" s="19">
        <f>GETPIVOTDATA("Значение",Лист1!$B$2,"Серия","Экспресс","Тип_шкафа","3-х дверный купе","Ширина",2100,"Высота",2400,"Глубина",600,"Наименование шкафа на сайте","Экспресс 3-х дверный (ЛДСП, Зеркало)","Признак_ВИ_Шкафа","Новый вариант")</f>
        <v>33170</v>
      </c>
      <c r="L37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3-х дверный (ЛДСП, Зеркало)","Признак_ВИ_Шкафа","Новый вариант")</f>
        <v>26930</v>
      </c>
      <c r="M37" s="19">
        <f>GETPIVOTDATA("Значение",Лист1!$B$2,"Серия","Экспресс","Тип_шкафа","3-х дверный купе","Ширина",2100,"Высота",2400,"Глубина",440,"Наименование шкафа на сайте","Экспресс 3-х дверный (ЛДСП, Зеркало)","Признак_ВИ_Шкафа","Новый вариант")</f>
        <v>28700</v>
      </c>
    </row>
    <row r="38" spans="1:14" ht="16.5" customHeight="1" x14ac:dyDescent="0.3">
      <c r="A38" s="584"/>
      <c r="B38" s="530"/>
      <c r="C38" s="586"/>
      <c r="D38" s="531"/>
      <c r="E38" s="12">
        <v>2400</v>
      </c>
      <c r="F38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3-х дверный (ЛДСП, Зеркало)","Признак_ВИ_Шкафа","Основной вариант")</f>
        <v>30770</v>
      </c>
      <c r="G38" s="19">
        <f>GETPIVOTDATA("Значение",Лист1!$B$2,"Серия","Экспресс","Тип_шкафа","3-х дверный купе","Ширина",2400,"Высота",2400,"Глубина",600,"Наименование шкафа на сайте","Экспресс 3-х дверный (ЛДСП, Зеркало)","Признак_ВИ_Шкафа","Основной вариант")</f>
        <v>33490</v>
      </c>
      <c r="H38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3-х дверный (ЛДСП, Зеркало)","Признак_ВИ_Шкафа","Основной вариант")</f>
        <v>27760</v>
      </c>
      <c r="I38" s="19">
        <f>GETPIVOTDATA("Значение",Лист1!$B$2,"Серия","Экспресс","Тип_шкафа","3-х дверный купе","Ширина",2400,"Высота",2400,"Глубина",440,"Наименование шкафа на сайте","Экспресс 3-х дверный (ЛДСП, Зеркало)","Признак_ВИ_Шкафа","Основной вариант")</f>
        <v>29360</v>
      </c>
      <c r="J38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3-х дверный (ЛДСП, Зеркало)","Признак_ВИ_Шкафа","Новый вариант")</f>
        <v>33800</v>
      </c>
      <c r="K38" s="19">
        <f>GETPIVOTDATA("Значение",Лист1!$B$2,"Серия","Экспресс","Тип_шкафа","3-х дверный купе","Ширина",2400,"Высота",2400,"Глубина",600,"Наименование шкафа на сайте","Экспресс 3-х дверный (ЛДСП, Зеркало)","Признак_ВИ_Шкафа","Новый вариант")</f>
        <v>36770</v>
      </c>
      <c r="L38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3-х дверный (ЛДСП, Зеркало)","Признак_ВИ_Шкафа","Новый вариант")</f>
        <v>30420</v>
      </c>
      <c r="M38" s="19">
        <f>GETPIVOTDATA("Значение",Лист1!$B$2,"Серия","Экспресс","Тип_шкафа","3-х дверный купе","Ширина",2400,"Высота",2400,"Глубина",440,"Наименование шкафа на сайте","Экспресс 3-х дверный (ЛДСП, Зеркало)","Признак_ВИ_Шкафа","Новый вариант")</f>
        <v>32130</v>
      </c>
    </row>
    <row r="39" spans="1:14" ht="16.5" customHeight="1" x14ac:dyDescent="0.3">
      <c r="A39" s="584"/>
      <c r="B39" s="530"/>
      <c r="C39" s="586"/>
      <c r="D39" s="531" t="s">
        <v>69</v>
      </c>
      <c r="E39" s="12">
        <v>1800</v>
      </c>
      <c r="F39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3-х дверный (Зеркало, ЛДСП)","Признак_ВИ_Шкафа","Основной вариант")</f>
        <v>25050</v>
      </c>
      <c r="G39" s="19">
        <f>GETPIVOTDATA("Значение",Лист1!$B$2,"Серия","Экспресс","Тип_шкафа","3-х дверный купе","Ширина",1800,"Высота",2400,"Глубина",600,"Наименование шкафа на сайте","Экспресс 3-х дверный (Зеркало, ЛДСП)","Признак_ВИ_Шкафа","Основной вариант")</f>
        <v>27460</v>
      </c>
      <c r="H39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3-х дверный (Зеркало, ЛДСП)","Признак_ВИ_Шкафа","Основной вариант")</f>
        <v>22180</v>
      </c>
      <c r="I39" s="19">
        <f>GETPIVOTDATA("Значение",Лист1!$B$2,"Серия","Экспресс","Тип_шкафа","3-х дверный купе","Ширина",1800,"Высота",2400,"Глубина",440,"Наименование шкафа на сайте","Экспресс 3-х дверный (Зеркало, ЛДСП)","Признак_ВИ_Шкафа","Основной вариант")</f>
        <v>23690</v>
      </c>
      <c r="J39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3-х дверный (Зеркало, ЛДСП)","Признак_ВИ_Шкафа","Новый вариант")</f>
        <v>27080</v>
      </c>
      <c r="K39" s="19">
        <f>GETPIVOTDATA("Значение",Лист1!$B$2,"Серия","Экспресс","Тип_шкафа","3-х дверный купе","Ширина",1800,"Высота",2400,"Глубина",600,"Наименование шкафа на сайте","Экспресс 3-х дверный (Зеркало, ЛДСП)","Признак_ВИ_Шкафа","Новый вариант")</f>
        <v>29670</v>
      </c>
      <c r="L39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3-х дверный (Зеркало, ЛДСП)","Признак_ВИ_Шкафа","Новый вариант")</f>
        <v>23880</v>
      </c>
      <c r="M39" s="19">
        <f>GETPIVOTDATA("Значение",Лист1!$B$2,"Серия","Экспресс","Тип_шкафа","3-х дверный купе","Ширина",1800,"Высота",2400,"Глубина",440,"Наименование шкафа на сайте","Экспресс 3-х дверный (Зеркало, ЛДСП)","Признак_ВИ_Шкафа","Новый вариант")</f>
        <v>25460</v>
      </c>
    </row>
    <row r="40" spans="1:14" ht="16.5" customHeight="1" x14ac:dyDescent="0.3">
      <c r="A40" s="584"/>
      <c r="B40" s="530"/>
      <c r="C40" s="586"/>
      <c r="D40" s="531"/>
      <c r="E40" s="12">
        <v>2100</v>
      </c>
      <c r="F40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3-х дверный (Зеркало, ЛДСП)","Признак_ВИ_Шкафа","Основной вариант")</f>
        <v>28200</v>
      </c>
      <c r="G40" s="19">
        <f>GETPIVOTDATA("Значение",Лист1!$B$2,"Серия","Экспресс","Тип_шкафа","3-х дверный купе","Ширина",2100,"Высота",2400,"Глубина",600,"Наименование шкафа на сайте","Экспресс 3-х дверный (Зеркало, ЛДСП)","Признак_ВИ_Шкафа","Основной вариант")</f>
        <v>30930</v>
      </c>
      <c r="H40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3-х дверный (Зеркало, ЛДСП)","Признак_ВИ_Шкафа","Основной вариант")</f>
        <v>25330</v>
      </c>
      <c r="I40" s="19">
        <f>GETPIVOTDATA("Значение",Лист1!$B$2,"Серия","Экспресс","Тип_шкафа","3-х дверный купе","Ширина",2100,"Высота",2400,"Глубина",440,"Наименование шкафа на сайте","Экспресс 3-х дверный (Зеркало, ЛДСП)","Признак_ВИ_Шкафа","Основной вариант")</f>
        <v>26940</v>
      </c>
      <c r="J40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3-х дверный (Зеркало, ЛДСП)","Признак_ВИ_Шкафа","Новый вариант")</f>
        <v>30410</v>
      </c>
      <c r="K40" s="19">
        <f>GETPIVOTDATA("Значение",Лист1!$B$2,"Серия","Экспресс","Тип_шкафа","3-х дверный купе","Ширина",2100,"Высота",2400,"Глубина",600,"Наименование шкафа на сайте","Экспресс 3-х дверный (Зеркало, ЛДСП)","Признак_ВИ_Шкафа","Новый вариант")</f>
        <v>33380</v>
      </c>
      <c r="L40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3-х дверный (Зеркало, ЛДСП)","Признак_ВИ_Шкафа","Новый вариант")</f>
        <v>27200</v>
      </c>
      <c r="M40" s="19">
        <f>GETPIVOTDATA("Значение",Лист1!$B$2,"Серия","Экспресс","Тип_шкафа","3-х дверный купе","Ширина",2100,"Высота",2400,"Глубина",440,"Наименование шкафа на сайте","Экспресс 3-х дверный (Зеркало, ЛДСП)","Признак_ВИ_Шкафа","Новый вариант")</f>
        <v>28910</v>
      </c>
    </row>
    <row r="41" spans="1:14" ht="16.5" customHeight="1" x14ac:dyDescent="0.3">
      <c r="A41" s="584"/>
      <c r="B41" s="530"/>
      <c r="C41" s="586"/>
      <c r="D41" s="531"/>
      <c r="E41" s="12">
        <v>2400</v>
      </c>
      <c r="F41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3-х дверный (Зеркало, ЛДСП)","Признак_ВИ_Шкафа","Основной вариант")</f>
        <v>31680</v>
      </c>
      <c r="G41" s="19">
        <f>GETPIVOTDATA("Значение",Лист1!$B$2,"Серия","Экспресс","Тип_шкафа","3-х дверный купе","Ширина",2400,"Высота",2400,"Глубина",600,"Наименование шкафа на сайте","Экспресс 3-х дверный (Зеркало, ЛДСП)","Признак_ВИ_Шкафа","Основной вариант")</f>
        <v>34390</v>
      </c>
      <c r="H41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3-х дверный (Зеркало, ЛДСП)","Признак_ВИ_Шкафа","Основной вариант")</f>
        <v>28670</v>
      </c>
      <c r="I41" s="19">
        <f>GETPIVOTDATA("Значение",Лист1!$B$2,"Серия","Экспресс","Тип_шкафа","3-х дверный купе","Ширина",2400,"Высота",2400,"Глубина",440,"Наименование шкафа на сайте","Экспресс 3-х дверный (Зеркало, ЛДСП)","Признак_ВИ_Шкафа","Основной вариант")</f>
        <v>30260</v>
      </c>
      <c r="J41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3-х дверный (Зеркало, ЛДСП)","Признак_ВИ_Шкафа","Новый вариант")</f>
        <v>34120</v>
      </c>
      <c r="K41" s="19">
        <f>GETPIVOTDATA("Значение",Лист1!$B$2,"Серия","Экспресс","Тип_шкафа","3-х дверный купе","Ширина",2400,"Высота",2400,"Глубина",600,"Наименование шкафа на сайте","Экспресс 3-х дверный (Зеркало, ЛДСП)","Признак_ВИ_Шкафа","Новый вариант")</f>
        <v>37040</v>
      </c>
      <c r="L41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3-х дверный (Зеркало, ЛДСП)","Признак_ВИ_Шкафа","Новый вариант")</f>
        <v>30740</v>
      </c>
      <c r="M41" s="19">
        <f>GETPIVOTDATA("Значение",Лист1!$B$2,"Серия","Экспресс","Тип_шкафа","3-х дверный купе","Ширина",2400,"Высота",2400,"Глубина",440,"Наименование шкафа на сайте","Экспресс 3-х дверный (Зеркало, ЛДСП)","Признак_ВИ_Шкафа","Новый вариант")</f>
        <v>32400</v>
      </c>
    </row>
    <row r="42" spans="1:14" ht="16.5" customHeight="1" x14ac:dyDescent="0.3">
      <c r="A42" s="584"/>
      <c r="B42" s="530"/>
      <c r="C42" s="586"/>
      <c r="D42" s="531" t="s">
        <v>68</v>
      </c>
      <c r="E42" s="12">
        <v>1800</v>
      </c>
      <c r="F42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3-х дверный (Зеркало)","Признак_ВИ_Шкафа","Основной вариант")</f>
        <v>25950</v>
      </c>
      <c r="G42" s="19">
        <f>GETPIVOTDATA("Значение",Лист1!$B$2,"Серия","Экспресс","Тип_шкафа","3-х дверный купе","Ширина",1800,"Высота",2400,"Глубина",600,"Наименование шкафа на сайте","Экспресс 3-х дверный (Зеркало)","Признак_ВИ_Шкафа","Основной вариант")</f>
        <v>28510</v>
      </c>
      <c r="H42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3-х дверный (Зеркало)","Признак_ВИ_Шкафа","Основной вариант")</f>
        <v>23080</v>
      </c>
      <c r="I42" s="19">
        <f>GETPIVOTDATA("Значение",Лист1!$B$2,"Серия","Экспресс","Тип_шкафа","3-х дверный купе","Ширина",1800,"Высота",2400,"Глубина",440,"Наименование шкафа на сайте","Экспресс 3-х дверный (Зеркало)","Признак_ВИ_Шкафа","Основной вариант")</f>
        <v>24740</v>
      </c>
      <c r="J42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3-х дверный (Зеркало)","Признак_ВИ_Шкафа","Новый вариант")</f>
        <v>27600</v>
      </c>
      <c r="K42" s="19">
        <f>GETPIVOTDATA("Значение",Лист1!$B$2,"Серия","Экспресс","Тип_шкафа","3-х дверный купе","Ширина",1800,"Высота",2400,"Глубина",600,"Наименование шкафа на сайте","Экспресс 3-х дверный (Зеркало)","Признак_ВИ_Шкафа","Новый вариант")</f>
        <v>30300</v>
      </c>
      <c r="L42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3-х дверный (Зеркало)","Признак_ВИ_Шкафа","Новый вариант")</f>
        <v>24400</v>
      </c>
      <c r="M42" s="19">
        <f>GETPIVOTDATA("Значение",Лист1!$B$2,"Серия","Экспресс","Тип_шкафа","3-х дверный купе","Ширина",1800,"Высота",2400,"Глубина",440,"Наименование шкафа на сайте","Экспресс 3-х дверный (Зеркало)","Признак_ВИ_Шкафа","Новый вариант")</f>
        <v>26090</v>
      </c>
    </row>
    <row r="43" spans="1:14" ht="16.5" customHeight="1" x14ac:dyDescent="0.3">
      <c r="A43" s="584"/>
      <c r="B43" s="530"/>
      <c r="C43" s="586"/>
      <c r="D43" s="531"/>
      <c r="E43" s="12">
        <v>2100</v>
      </c>
      <c r="F43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3-х дверный (Зеркало)","Признак_ВИ_Шкафа","Основной вариант")</f>
        <v>28950</v>
      </c>
      <c r="G43" s="19">
        <f>GETPIVOTDATA("Значение",Лист1!$B$2,"Серия","Экспресс","Тип_шкафа","3-х дверный купе","Ширина",2100,"Высота",2400,"Глубина",600,"Наименование шкафа на сайте","Экспресс 3-х дверный (Зеркало)","Признак_ВИ_Шкафа","Основной вариант")</f>
        <v>31690</v>
      </c>
      <c r="H43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3-х дверный (Зеркало)","Признак_ВИ_Шкафа","Основной вариант")</f>
        <v>26080</v>
      </c>
      <c r="I43" s="19">
        <f>GETPIVOTDATA("Значение",Лист1!$B$2,"Серия","Экспресс","Тип_шкафа","3-х дверный купе","Ширина",2100,"Высота",2400,"Глубина",440,"Наименование шкафа на сайте","Экспресс 3-х дверный (Зеркало)","Признак_ВИ_Шкафа","Основной вариант")</f>
        <v>27700</v>
      </c>
      <c r="J43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3-х дверный (Зеркало)","Признак_ВИ_Шкафа","Новый вариант")</f>
        <v>30680</v>
      </c>
      <c r="K43" s="19">
        <f>GETPIVOTDATA("Значение",Лист1!$B$2,"Серия","Экспресс","Тип_шкафа","3-х дверный купе","Ширина",2100,"Высота",2400,"Глубина",600,"Наименование шкафа на сайте","Экспресс 3-х дверный (Зеркало)","Признак_ВИ_Шкафа","Новый вариант")</f>
        <v>33590</v>
      </c>
      <c r="L43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3-х дверный (Зеркало)","Признак_ВИ_Шкафа","Новый вариант")</f>
        <v>27470</v>
      </c>
      <c r="M43" s="19">
        <f>GETPIVOTDATA("Значение",Лист1!$B$2,"Серия","Экспресс","Тип_шкафа","3-х дверный купе","Ширина",2100,"Высота",2400,"Глубина",440,"Наименование шкафа на сайте","Экспресс 3-х дверный (Зеркало)","Признак_ВИ_Шкафа","Новый вариант")</f>
        <v>29120</v>
      </c>
    </row>
    <row r="44" spans="1:14" ht="16.5" customHeight="1" x14ac:dyDescent="0.3">
      <c r="A44" s="584"/>
      <c r="B44" s="530"/>
      <c r="C44" s="586"/>
      <c r="D44" s="531"/>
      <c r="E44" s="12">
        <v>2400</v>
      </c>
      <c r="F44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3-х дверный (Зеркало)","Признак_ВИ_Шкафа","Основной вариант")</f>
        <v>32590</v>
      </c>
      <c r="G44" s="19">
        <f>GETPIVOTDATA("Значение",Лист1!$B$2,"Серия","Экспресс","Тип_шкафа","3-х дверный купе","Ширина",2400,"Высота",2400,"Глубина",600,"Наименование шкафа на сайте","Экспресс 3-х дверный (Зеркало)","Признак_ВИ_Шкафа","Основной вариант")</f>
        <v>35290</v>
      </c>
      <c r="H44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3-х дверный (Зеркало)","Признак_ВИ_Шкафа","Основной вариант")</f>
        <v>29580</v>
      </c>
      <c r="I44" s="19">
        <f>GETPIVOTDATA("Значение",Лист1!$B$2,"Серия","Экспресс","Тип_шкафа","3-х дверный купе","Ширина",2400,"Высота",2400,"Глубина",440,"Наименование шкафа на сайте","Экспресс 3-х дверный (Зеркало)","Признак_ВИ_Шкафа","Основной вариант")</f>
        <v>31160</v>
      </c>
      <c r="J44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3-х дверный (Зеркало)","Признак_ВИ_Шкафа","Новый вариант")</f>
        <v>34440</v>
      </c>
      <c r="K44" s="19">
        <f>GETPIVOTDATA("Значение",Лист1!$B$2,"Серия","Экспресс","Тип_шкафа","3-х дверный купе","Ширина",2400,"Высота",2400,"Глубина",600,"Наименование шкафа на сайте","Экспресс 3-х дверный (Зеркало)","Признак_ВИ_Шкафа","Новый вариант")</f>
        <v>37310</v>
      </c>
      <c r="L44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3-х дверный (Зеркало)","Признак_ВИ_Шкафа","Новый вариант")</f>
        <v>31060</v>
      </c>
      <c r="M44" s="19">
        <f>GETPIVOTDATA("Значение",Лист1!$B$2,"Серия","Экспресс","Тип_шкафа","3-х дверный купе","Ширина",2400,"Высота",2400,"Глубина",440,"Наименование шкафа на сайте","Экспресс 3-х дверный (Зеркало)","Признак_ВИ_Шкафа","Новый вариант")</f>
        <v>32670</v>
      </c>
    </row>
    <row r="45" spans="1:14" ht="16.5" customHeight="1" x14ac:dyDescent="0.3">
      <c r="A45" s="584"/>
      <c r="B45" s="530"/>
      <c r="C45" s="586"/>
      <c r="D45" s="531" t="s">
        <v>67</v>
      </c>
      <c r="E45" s="12">
        <v>1800</v>
      </c>
      <c r="F45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3-х дверный (Фото№1001 Абстракция серая)","Признак_ВИ_Шкафа","Основной вариант")</f>
        <v>30600</v>
      </c>
      <c r="G45" s="19">
        <f>GETPIVOTDATA("Значение",Лист1!$B$2,"Серия","Экспресс","Тип_шкафа","3-х дверный купе","Ширина",1800,"Высота",2400,"Глубина",600,"Наименование шкафа на сайте","Экспресс 3-х дверный (Фото№1001 Абстракция серая)","Признак_ВИ_Шкафа","Основной вариант")</f>
        <v>33320</v>
      </c>
      <c r="H45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3-х дверный (Фото№1001 Абстракция серая)","Признак_ВИ_Шкафа","Основной вариант")</f>
        <v>27730</v>
      </c>
      <c r="I45" s="19">
        <f>GETPIVOTDATA("Значение",Лист1!$B$2,"Серия","Экспресс","Тип_шкафа","3-х дверный купе","Ширина",1800,"Высота",2400,"Глубина",440,"Наименование шкафа на сайте","Экспресс 3-х дверный (Фото№1001 Абстракция серая)","Признак_ВИ_Шкафа","Основной вариант")</f>
        <v>29550</v>
      </c>
      <c r="J45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3-х дверный (Фото№1001 Абстракция серая)","Признак_ВИ_Шкафа","Новый вариант")</f>
        <v>32250</v>
      </c>
      <c r="K45" s="19">
        <f>GETPIVOTDATA("Значение",Лист1!$B$2,"Серия","Экспресс","Тип_шкафа","3-х дверный купе","Ширина",1800,"Высота",2400,"Глубина",600,"Наименование шкафа на сайте","Экспресс 3-х дверный (Фото№1001 Абстракция серая)","Признак_ВИ_Шкафа","Новый вариант")</f>
        <v>35110</v>
      </c>
      <c r="L45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3-х дверный (Фото№1001 Абстракция серая)","Признак_ВИ_Шкафа","Новый вариант")</f>
        <v>29050</v>
      </c>
      <c r="M45" s="19">
        <f>GETPIVOTDATA("Значение",Лист1!$B$2,"Серия","Экспресс","Тип_шкафа","3-х дверный купе","Ширина",1800,"Высота",2400,"Глубина",440,"Наименование шкафа на сайте","Экспресс 3-х дверный (Фото№1001 Абстракция серая)","Признак_ВИ_Шкафа","Новый вариант")</f>
        <v>30900</v>
      </c>
    </row>
    <row r="46" spans="1:14" ht="16.5" customHeight="1" x14ac:dyDescent="0.3">
      <c r="A46" s="584"/>
      <c r="B46" s="530"/>
      <c r="C46" s="586"/>
      <c r="D46" s="531"/>
      <c r="E46" s="12">
        <v>2100</v>
      </c>
      <c r="F46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3-х дверный (Фото№1001 Абстракция серая)","Признак_ВИ_Шкафа","Основной вариант")</f>
        <v>35430</v>
      </c>
      <c r="G46" s="19">
        <f>GETPIVOTDATA("Значение",Лист1!$B$2,"Серия","Экспресс","Тип_шкафа","3-х дверный купе","Ширина",2100,"Высота",2400,"Глубина",600,"Наименование шкафа на сайте","Экспресс 3-х дверный (Фото№1001 Абстракция серая)","Признак_ВИ_Шкафа","Основной вариант")</f>
        <v>38730</v>
      </c>
      <c r="H46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3-х дверный (Фото№1001 Абстракция серая)","Признак_ВИ_Шкафа","Основной вариант")</f>
        <v>32560</v>
      </c>
      <c r="I46" s="19">
        <f>GETPIVOTDATA("Значение",Лист1!$B$2,"Серия","Экспресс","Тип_шкафа","3-х дверный купе","Ширина",2100,"Высота",2400,"Глубина",440,"Наименование шкафа на сайте","Экспресс 3-х дверный (Фото№1001 Абстракция серая)","Признак_ВИ_Шкафа","Основной вариант")</f>
        <v>34740</v>
      </c>
      <c r="J46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3-х дверный (Фото№1001 Абстракция серая)","Признак_ВИ_Шкафа","Новый вариант")</f>
        <v>37160</v>
      </c>
      <c r="K46" s="19">
        <f>GETPIVOTDATA("Значение",Лист1!$B$2,"Серия","Экспресс","Тип_шкафа","3-х дверный купе","Ширина",2100,"Высота",2400,"Глубина",600,"Наименование шкафа на сайте","Экспресс 3-х дверный (Фото№1001 Абстракция серая)","Признак_ВИ_Шкафа","Новый вариант")</f>
        <v>40630</v>
      </c>
      <c r="L46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3-х дверный (Фото№1001 Абстракция серая)","Признак_ВИ_Шкафа","Новый вариант")</f>
        <v>33950</v>
      </c>
      <c r="M46" s="19">
        <f>GETPIVOTDATA("Значение",Лист1!$B$2,"Серия","Экспресс","Тип_шкафа","3-х дверный купе","Ширина",2100,"Высота",2400,"Глубина",440,"Наименование шкафа на сайте","Экспресс 3-х дверный (Фото№1001 Абстракция серая)","Признак_ВИ_Шкафа","Новый вариант")</f>
        <v>36160</v>
      </c>
    </row>
    <row r="47" spans="1:14" ht="16.5" customHeight="1" thickBot="1" x14ac:dyDescent="0.35">
      <c r="A47" s="585"/>
      <c r="B47" s="361"/>
      <c r="C47" s="605"/>
      <c r="D47" s="534"/>
      <c r="E47" s="74">
        <v>2400</v>
      </c>
      <c r="F47" s="18">
        <f>GETPIVOTDATA("Значение",Лист1!$B$2,"Серия","Экспресс","Тип_шкафа","3-х дверный купе","Ширина",2400,"Высота",2200,"Глубина",600,"Наименование шкафа на сайте","Экспресс 3-х дверный (Фото№1001 Абстракция серая)","Признак_ВИ_Шкафа","Основной вариант")</f>
        <v>40400</v>
      </c>
      <c r="G47" s="161">
        <f>GETPIVOTDATA("Значение",Лист1!$B$2,"Серия","Экспресс","Тип_шкафа","3-х дверный купе","Ширина",2400,"Высота",2400,"Глубина",600,"Наименование шкафа на сайте","Экспресс 3-х дверный (Фото№1001 Абстракция серая)","Признак_ВИ_Шкафа","Основной вариант")</f>
        <v>44020</v>
      </c>
      <c r="H47" s="18">
        <f>GETPIVOTDATA("Значение",Лист1!$B$2,"Серия","Экспресс","Тип_шкафа","3-х дверный купе","Ширина",2400,"Высота",2200,"Глубина",440,"Наименование шкафа на сайте","Экспресс 3-х дверный (Фото№1001 Абстракция серая)","Признак_ВИ_Шкафа","Основной вариант")</f>
        <v>37390</v>
      </c>
      <c r="I47" s="161">
        <f>GETPIVOTDATA("Значение",Лист1!$B$2,"Серия","Экспресс","Тип_шкафа","3-х дверный купе","Ширина",2400,"Высота",2400,"Глубина",440,"Наименование шкафа на сайте","Экспресс 3-х дверный (Фото№1001 Абстракция серая)","Признак_ВИ_Шкафа","Основной вариант")</f>
        <v>39890</v>
      </c>
      <c r="J47" s="18">
        <f>GETPIVOTDATA("Значение",Лист1!$B$2,"Серия","Экспресс","Тип_шкафа","3-х дверный купе","Ширина",2400,"Высота",2200,"Глубина",600,"Наименование шкафа на сайте","Экспресс 3-х дверный (Фото№1001 Абстракция серая)","Признак_ВИ_Шкафа","Новый вариант")</f>
        <v>42250</v>
      </c>
      <c r="K47" s="161">
        <f>GETPIVOTDATA("Значение",Лист1!$B$2,"Серия","Экспресс","Тип_шкафа","3-х дверный купе","Ширина",2400,"Высота",2400,"Глубина",600,"Наименование шкафа на сайте","Экспресс 3-х дверный (Фото№1001 Абстракция серая)","Признак_ВИ_Шкафа","Новый вариант")</f>
        <v>46040</v>
      </c>
      <c r="L47" s="18">
        <f>GETPIVOTDATA("Значение",Лист1!$B$2,"Серия","Экспресс","Тип_шкафа","3-х дверный купе","Ширина",2400,"Высота",2200,"Глубина",440,"Наименование шкафа на сайте","Экспресс 3-х дверный (Фото№1001 Абстракция серая)","Признак_ВИ_Шкафа","Новый вариант")</f>
        <v>38870</v>
      </c>
      <c r="M47" s="161">
        <f>GETPIVOTDATA("Значение",Лист1!$B$2,"Серия","Экспресс","Тип_шкафа","3-х дверный купе","Ширина",2400,"Высота",2400,"Глубина",440,"Наименование шкафа на сайте","Экспресс 3-х дверный (Фото№1001 Абстракция серая)","Признак_ВИ_Шкафа","Новый вариант")</f>
        <v>41400</v>
      </c>
    </row>
    <row r="48" spans="1:14" ht="38.4" customHeight="1" x14ac:dyDescent="0.3">
      <c r="A48" s="573" t="s">
        <v>7</v>
      </c>
      <c r="B48" s="366"/>
      <c r="C48" s="607"/>
      <c r="D48" s="160" t="s">
        <v>66</v>
      </c>
      <c r="E48" s="152"/>
      <c r="F48" s="170">
        <f>GETPIVOTDATA("Значение",Лист1!$K:$P,"Вариант_исполнения","Венге","Серия","Экспресс","Ширина","300","Глубина","600","Высота","2200","Комплектующая","Угловой терминал")</f>
        <v>4600</v>
      </c>
      <c r="G48" s="166">
        <f>GETPIVOTDATA("Значение",Лист1!$K:$P,"Вариант_исполнения","Венге","Серия","Экспресс","Ширина","300","Глубина","600","Высота","2400","Комплектующая","Угловой терминал")</f>
        <v>4750</v>
      </c>
      <c r="H48" s="579"/>
      <c r="I48" s="579"/>
      <c r="J48" s="170">
        <f>GETPIVOTDATA("Значение",Лист1!$K:$P,"Вариант_исполнения","Бетон","Серия","Экспресс","Ширина","300","Глубина","600","Высота","2200","Комплектующая","Угловой терминал")</f>
        <v>5160</v>
      </c>
      <c r="K48" s="166">
        <f>GETPIVOTDATA("Значение",Лист1!$K:$P,"Вариант_исполнения","Бетон","Серия","Экспресс","Ширина","300","Глубина","600","Высота","2400","Комплектующая","Угловой терминал")</f>
        <v>5320</v>
      </c>
      <c r="L48" s="579"/>
      <c r="M48" s="579"/>
    </row>
    <row r="49" spans="1:13" ht="46.95" customHeight="1" x14ac:dyDescent="0.3">
      <c r="A49" s="573"/>
      <c r="B49" s="611"/>
      <c r="C49" s="611"/>
      <c r="D49" s="160" t="s">
        <v>853</v>
      </c>
      <c r="E49" s="165"/>
      <c r="F49" s="170">
        <f>GETPIVOTDATA("Значение",Лист1!$Y$3,"Вариант_исполнения","Белый снег","Ширина","350","Глубина","600","Высота","2200","Признак вставки","без вставки")</f>
        <v>4540</v>
      </c>
      <c r="G49" s="171">
        <f>GETPIVOTDATA("Значение",Лист1!$Y$3,"Вариант_исполнения","Белый снег","Ширина","350","Глубина","600","Высота","2400","Признак вставки","без вставки")</f>
        <v>4650</v>
      </c>
      <c r="H49" s="170">
        <f>GETPIVOTDATA("Значение",Лист1!$Y$3,"Вариант_исполнения","Белый снег","Ширина","350","Глубина","440","Высота","2200","Признак вставки","без вставки")</f>
        <v>4040</v>
      </c>
      <c r="I49" s="171">
        <f>GETPIVOTDATA("Значение",Лист1!$Y$3,"Вариант_исполнения","Белый снег","Ширина","350","Глубина","440","Высота","2400","Признак вставки","без вставки")</f>
        <v>4140</v>
      </c>
      <c r="J49" s="170">
        <f>GETPIVOTDATA("Значение",Лист1!$Y$3,"Вариант_исполнения","Бетон","Ширина","350","Глубина","600","Высота","2200","Признак вставки","без вставки")</f>
        <v>5090</v>
      </c>
      <c r="K49" s="171">
        <f>GETPIVOTDATA("Значение",Лист1!$Y$3,"Вариант_исполнения","Бетон","Ширина","350","Глубина","600","Высота","2400","Признак вставки","без вставки")</f>
        <v>5210</v>
      </c>
      <c r="L49" s="170">
        <f>GETPIVOTDATA("Значение",Лист1!$Y$3,"Вариант_исполнения","Бетон","Ширина","350","Глубина","440","Высота","2200","Признак вставки","без вставки")</f>
        <v>4530</v>
      </c>
      <c r="M49" s="171">
        <f>GETPIVOTDATA("Значение",Лист1!$Y$3,"Вариант_исполнения","Бетон","Ширина","350","Глубина","440","Высота","2400","Признак вставки","без вставки")</f>
        <v>4640</v>
      </c>
    </row>
    <row r="50" spans="1:13" ht="46.95" customHeight="1" x14ac:dyDescent="0.3">
      <c r="A50" s="573"/>
      <c r="B50" s="611"/>
      <c r="C50" s="611"/>
      <c r="D50" s="160" t="s">
        <v>853</v>
      </c>
      <c r="E50" s="165" t="s">
        <v>854</v>
      </c>
      <c r="F50" s="170">
        <f>GETPIVOTDATA("Значение",Лист1!$Y$3,"Вариант_исполнения","Белый снег","Ширина","350","Глубина","600","Высота","2200","Признак вставки","с вставкой")</f>
        <v>5360</v>
      </c>
      <c r="G50" s="171">
        <f>GETPIVOTDATA("Значение",Лист1!$Y$3,"Вариант_исполнения","Белый снег","Ширина","350","Глубина","600","Высота","2400","Признак вставки","с вставкой")</f>
        <v>5640</v>
      </c>
      <c r="H50" s="170">
        <f>GETPIVOTDATA("Значение",Лист1!$Y$3,"Вариант_исполнения","Белый снег","Ширина","350","Глубина","440","Высота","2200","Признак вставки","с вставкой")</f>
        <v>4860</v>
      </c>
      <c r="I50" s="171">
        <f>GETPIVOTDATA("Значение",Лист1!$Y$3,"Вариант_исполнения","Белый снег","Ширина","350","Глубина","440","Высота","2400","Признак вставки","с вставкой")</f>
        <v>5130</v>
      </c>
      <c r="J50" s="170">
        <f>GETPIVOTDATA("Значение",Лист1!$Y$3,"Вариант_исполнения","Бетон","Ширина","350","Глубина","600","Высота","2200","Признак вставки","с вставкой")</f>
        <v>5910</v>
      </c>
      <c r="K50" s="171">
        <f>GETPIVOTDATA("Значение",Лист1!$Y$3,"Вариант_исполнения","Бетон","Ширина","350","Глубина","600","Высота","2400","Признак вставки","с вставкой")</f>
        <v>6200</v>
      </c>
      <c r="L50" s="170">
        <f>GETPIVOTDATA("Значение",Лист1!$Y$3,"Вариант_исполнения","Бетон","Ширина","350","Глубина","440","Высота","2200","Признак вставки","с вставкой")</f>
        <v>5350</v>
      </c>
      <c r="M50" s="171">
        <f>GETPIVOTDATA("Значение",Лист1!$Y$3,"Вариант_исполнения","Бетон","Ширина","350","Глубина","440","Высота","2400","Признак вставки","с вставкой")</f>
        <v>5630</v>
      </c>
    </row>
    <row r="51" spans="1:13" ht="12" customHeight="1" x14ac:dyDescent="0.3">
      <c r="A51" s="573"/>
      <c r="B51" s="530"/>
      <c r="C51" s="608"/>
      <c r="D51" s="355" t="s">
        <v>6</v>
      </c>
      <c r="E51" s="346" t="s">
        <v>65</v>
      </c>
      <c r="F51" s="345">
        <f>GETPIVOTDATA("Значение",Лист1!$K$3,"Вариант_исполнения","Белый снег","Серия","Модуль универсальный","Ширина","500","Глубина","600","Высота","388","Комплектующая","Модуль")</f>
        <v>3430</v>
      </c>
      <c r="G51" s="345"/>
      <c r="H51" s="524">
        <f>GETPIVOTDATA("Значение",Лист1!$K$3,"Вариант_исполнения","Белый снег","Серия","Модуль универсальный","Ширина","600","Глубина","440","Высота","388","Комплектующая","Модуль")</f>
        <v>2780</v>
      </c>
      <c r="I51" s="524"/>
      <c r="J51" s="524">
        <f>GETPIVOTDATA("Значение",Лист1!$K$3,"Вариант_исполнения","Бетон","Серия","Модуль универсальный","Ширина","600","Глубина","600","Высота","388","Комплектующая","Модуль")</f>
        <v>3840</v>
      </c>
      <c r="K51" s="524"/>
      <c r="L51" s="524">
        <f>GETPIVOTDATA("Значение",Лист1!$K$3,"Вариант_исполнения","Бетон","Серия","Модуль универсальный","Ширина","600","Глубина","440","Высота","388","Комплектующая","Модуль")</f>
        <v>3110</v>
      </c>
      <c r="M51" s="524"/>
    </row>
    <row r="52" spans="1:13" ht="12" customHeight="1" x14ac:dyDescent="0.3">
      <c r="A52" s="573"/>
      <c r="B52" s="530"/>
      <c r="C52" s="608"/>
      <c r="D52" s="355"/>
      <c r="E52" s="346"/>
      <c r="F52" s="345"/>
      <c r="G52" s="345"/>
      <c r="H52" s="524"/>
      <c r="I52" s="524"/>
      <c r="J52" s="524"/>
      <c r="K52" s="524"/>
      <c r="L52" s="524"/>
      <c r="M52" s="524"/>
    </row>
    <row r="53" spans="1:13" ht="12" customHeight="1" x14ac:dyDescent="0.3">
      <c r="A53" s="573"/>
      <c r="B53" s="361"/>
      <c r="C53" s="609"/>
      <c r="D53" s="355"/>
      <c r="E53" s="346"/>
      <c r="F53" s="345"/>
      <c r="G53" s="345"/>
      <c r="H53" s="524"/>
      <c r="I53" s="524"/>
      <c r="J53" s="524"/>
      <c r="K53" s="524"/>
      <c r="L53" s="524"/>
      <c r="M53" s="524"/>
    </row>
    <row r="54" spans="1:13" ht="50.4" customHeight="1" x14ac:dyDescent="0.3">
      <c r="A54" s="573"/>
      <c r="B54" s="350"/>
      <c r="C54" s="350"/>
      <c r="D54" s="232" t="s">
        <v>889</v>
      </c>
      <c r="E54" s="263" t="s">
        <v>989</v>
      </c>
      <c r="F54" s="345">
        <f>GETPIVOTDATA("Значение",Локер1!$J$2,"Номенклатура","Система доводчиков универсальная 1-дверная","Вариант_исполнения","осн.","Серия","Доводчики","Ширина",,"Глубина",,"Высота",,"Комплектующая","Доводчики")</f>
        <v>870</v>
      </c>
      <c r="G54" s="345"/>
      <c r="H54" s="345"/>
      <c r="I54" s="345"/>
      <c r="J54" s="345"/>
      <c r="K54" s="345"/>
      <c r="L54" s="345"/>
      <c r="M54" s="345"/>
    </row>
    <row r="55" spans="1:13" ht="21.75" customHeight="1" x14ac:dyDescent="0.3">
      <c r="A55" s="501" t="s">
        <v>3</v>
      </c>
      <c r="B55" s="91"/>
      <c r="C55" s="168"/>
      <c r="D55" s="168"/>
      <c r="E55" s="168"/>
      <c r="F55" s="578" t="s">
        <v>64</v>
      </c>
      <c r="G55" s="574"/>
      <c r="H55" s="574" t="s">
        <v>63</v>
      </c>
      <c r="I55" s="574"/>
      <c r="J55" s="574" t="s">
        <v>2</v>
      </c>
      <c r="K55" s="574"/>
      <c r="L55" s="574" t="s">
        <v>1</v>
      </c>
      <c r="M55" s="575"/>
    </row>
    <row r="56" spans="1:13" ht="59.25" customHeight="1" thickBot="1" x14ac:dyDescent="0.35">
      <c r="A56" s="474"/>
      <c r="B56" s="394"/>
      <c r="C56" s="395"/>
      <c r="D56" s="65"/>
      <c r="E56" s="65"/>
      <c r="F56" s="613"/>
      <c r="G56" s="576"/>
      <c r="H56" s="576"/>
      <c r="I56" s="576"/>
      <c r="J56" s="576"/>
      <c r="K56" s="576"/>
      <c r="L56" s="576"/>
      <c r="M56" s="577"/>
    </row>
    <row r="57" spans="1:13" ht="14.4" customHeight="1" x14ac:dyDescent="0.3">
      <c r="B57" s="264"/>
      <c r="C57" s="265"/>
      <c r="D57" s="265"/>
      <c r="E57" s="612" t="s">
        <v>977</v>
      </c>
      <c r="F57" s="612"/>
      <c r="G57" s="612"/>
      <c r="H57" s="265"/>
      <c r="I57" s="265"/>
      <c r="J57" s="265"/>
      <c r="K57" s="265"/>
      <c r="L57" s="265"/>
      <c r="M57" s="267"/>
    </row>
    <row r="58" spans="1:13" ht="14.4" customHeight="1" x14ac:dyDescent="0.3">
      <c r="B58" s="91" t="s">
        <v>978</v>
      </c>
      <c r="C58" s="168"/>
      <c r="D58" s="168"/>
      <c r="E58" s="270"/>
      <c r="F58" s="270"/>
      <c r="G58" s="270"/>
      <c r="H58" s="270"/>
      <c r="I58" s="168"/>
      <c r="J58" s="168"/>
      <c r="K58" s="168"/>
      <c r="L58" s="168"/>
      <c r="M58" s="174"/>
    </row>
    <row r="59" spans="1:13" ht="14.4" customHeight="1" x14ac:dyDescent="0.3">
      <c r="B59" s="91" t="s">
        <v>979</v>
      </c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74"/>
    </row>
    <row r="60" spans="1:13" ht="14.4" customHeight="1" x14ac:dyDescent="0.3">
      <c r="B60" s="91" t="s">
        <v>980</v>
      </c>
      <c r="C60" s="168" t="s">
        <v>980</v>
      </c>
      <c r="D60" s="168"/>
      <c r="E60" s="168"/>
      <c r="F60" s="168"/>
      <c r="G60" s="168"/>
      <c r="H60" s="168"/>
      <c r="I60" s="168"/>
      <c r="J60" s="168"/>
      <c r="K60" s="168"/>
      <c r="L60" s="168"/>
      <c r="M60" s="174"/>
    </row>
    <row r="61" spans="1:13" ht="14.4" customHeight="1" thickBot="1" x14ac:dyDescent="0.35">
      <c r="B61" s="268"/>
      <c r="C61" s="65"/>
      <c r="D61" s="65"/>
      <c r="E61" s="269" t="s">
        <v>981</v>
      </c>
      <c r="F61" s="65"/>
      <c r="G61" s="65"/>
      <c r="H61" s="65"/>
      <c r="I61" s="65"/>
      <c r="J61" s="65"/>
      <c r="K61" s="65"/>
      <c r="L61" s="65"/>
      <c r="M61" s="2"/>
    </row>
  </sheetData>
  <mergeCells count="78">
    <mergeCell ref="E57:G57"/>
    <mergeCell ref="H55:I55"/>
    <mergeCell ref="F56:G56"/>
    <mergeCell ref="H56:I56"/>
    <mergeCell ref="D51:D53"/>
    <mergeCell ref="B33:C35"/>
    <mergeCell ref="B36:C38"/>
    <mergeCell ref="B39:C41"/>
    <mergeCell ref="B48:C48"/>
    <mergeCell ref="E51:E53"/>
    <mergeCell ref="B51:C53"/>
    <mergeCell ref="D39:D41"/>
    <mergeCell ref="D42:D44"/>
    <mergeCell ref="D45:D47"/>
    <mergeCell ref="D33:D35"/>
    <mergeCell ref="D36:D38"/>
    <mergeCell ref="B49:C49"/>
    <mergeCell ref="B50:C50"/>
    <mergeCell ref="A17:E17"/>
    <mergeCell ref="A33:A47"/>
    <mergeCell ref="B30:C32"/>
    <mergeCell ref="A10:E12"/>
    <mergeCell ref="B22:C25"/>
    <mergeCell ref="D22:D25"/>
    <mergeCell ref="D26:D29"/>
    <mergeCell ref="A13:A16"/>
    <mergeCell ref="B13:C16"/>
    <mergeCell ref="A18:A32"/>
    <mergeCell ref="D30:D32"/>
    <mergeCell ref="D18:D21"/>
    <mergeCell ref="B18:C21"/>
    <mergeCell ref="B26:C29"/>
    <mergeCell ref="B42:C44"/>
    <mergeCell ref="B45:C47"/>
    <mergeCell ref="A48:A54"/>
    <mergeCell ref="B54:C54"/>
    <mergeCell ref="J55:K55"/>
    <mergeCell ref="L55:M55"/>
    <mergeCell ref="B56:C56"/>
    <mergeCell ref="J56:K56"/>
    <mergeCell ref="L56:M56"/>
    <mergeCell ref="A55:A56"/>
    <mergeCell ref="F55:G55"/>
    <mergeCell ref="F54:M54"/>
    <mergeCell ref="F51:G53"/>
    <mergeCell ref="H51:I53"/>
    <mergeCell ref="J51:K53"/>
    <mergeCell ref="L51:M53"/>
    <mergeCell ref="L48:M48"/>
    <mergeCell ref="H48:I48"/>
    <mergeCell ref="B1:C1"/>
    <mergeCell ref="D1:I1"/>
    <mergeCell ref="A1:A4"/>
    <mergeCell ref="A8:A9"/>
    <mergeCell ref="B8:C9"/>
    <mergeCell ref="F3:G3"/>
    <mergeCell ref="E5:E6"/>
    <mergeCell ref="D5:D6"/>
    <mergeCell ref="A5:A6"/>
    <mergeCell ref="B5:C6"/>
    <mergeCell ref="C2:E3"/>
    <mergeCell ref="H3:I3"/>
    <mergeCell ref="F5:M5"/>
    <mergeCell ref="F6:M6"/>
    <mergeCell ref="F7:M7"/>
    <mergeCell ref="J1:K2"/>
    <mergeCell ref="J3:K4"/>
    <mergeCell ref="L1:L2"/>
    <mergeCell ref="M1:M2"/>
    <mergeCell ref="L3:L4"/>
    <mergeCell ref="M3:M4"/>
    <mergeCell ref="K13:M16"/>
    <mergeCell ref="F11:G11"/>
    <mergeCell ref="H11:I11"/>
    <mergeCell ref="J11:K11"/>
    <mergeCell ref="L11:M11"/>
    <mergeCell ref="J12:M12"/>
    <mergeCell ref="F12:I12"/>
  </mergeCells>
  <pageMargins left="0.25" right="0.25" top="0.75" bottom="0.75" header="0.3" footer="0.3"/>
  <pageSetup paperSize="9" scale="73" orientation="portrait" r:id="rId1"/>
  <rowBreaks count="1" manualBreakCount="1">
    <brk id="29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169ED-EEDB-47EC-A4E1-901DE6471A9E}">
  <sheetPr>
    <pageSetUpPr fitToPage="1"/>
  </sheetPr>
  <dimension ref="A1:N60"/>
  <sheetViews>
    <sheetView showGridLines="0" zoomScale="85" zoomScaleNormal="85" zoomScaleSheetLayoutView="55" workbookViewId="0">
      <pane xSplit="3" ySplit="7" topLeftCell="D41" activePane="bottomRight" state="frozen"/>
      <selection activeCell="K21" sqref="K21"/>
      <selection pane="topRight" activeCell="K21" sqref="K21"/>
      <selection pane="bottomLeft" activeCell="K21" sqref="K21"/>
      <selection pane="bottomRight" activeCell="Q42" sqref="Q42"/>
    </sheetView>
  </sheetViews>
  <sheetFormatPr defaultColWidth="9.109375" defaultRowHeight="14.4" customHeight="1" x14ac:dyDescent="0.3"/>
  <cols>
    <col min="1" max="1" width="6.6640625" customWidth="1"/>
    <col min="2" max="2" width="11.6640625" customWidth="1"/>
    <col min="3" max="3" width="4.44140625" customWidth="1"/>
    <col min="4" max="4" width="12.88671875" customWidth="1"/>
    <col min="5" max="5" width="18.6640625" customWidth="1"/>
    <col min="6" max="7" width="11.33203125" bestFit="1" customWidth="1"/>
    <col min="8" max="9" width="9.33203125" customWidth="1"/>
    <col min="10" max="11" width="11.33203125" bestFit="1" customWidth="1"/>
    <col min="12" max="12" width="17.33203125" customWidth="1"/>
    <col min="13" max="13" width="9.109375" bestFit="1" customWidth="1"/>
    <col min="14" max="14" width="5" customWidth="1"/>
    <col min="15" max="27" width="9.109375" customWidth="1"/>
  </cols>
  <sheetData>
    <row r="1" spans="1:14" ht="15" customHeight="1" x14ac:dyDescent="0.3">
      <c r="A1" s="352"/>
      <c r="B1" s="551" t="s">
        <v>780</v>
      </c>
      <c r="C1" s="551"/>
      <c r="D1" s="552" t="s">
        <v>81</v>
      </c>
      <c r="E1" s="552"/>
      <c r="F1" s="552"/>
      <c r="G1" s="552"/>
      <c r="H1" s="553"/>
      <c r="I1" s="552"/>
      <c r="J1" s="420"/>
      <c r="K1" s="420"/>
      <c r="L1" s="547" t="s">
        <v>782</v>
      </c>
      <c r="M1" s="549"/>
    </row>
    <row r="2" spans="1:14" ht="15" customHeight="1" x14ac:dyDescent="0.3">
      <c r="A2" s="353"/>
      <c r="B2" s="72" t="s">
        <v>52</v>
      </c>
      <c r="C2" s="351" t="s">
        <v>928</v>
      </c>
      <c r="D2" s="351"/>
      <c r="E2" s="351"/>
      <c r="F2" s="42"/>
      <c r="I2" s="146"/>
      <c r="J2" s="421"/>
      <c r="K2" s="421"/>
      <c r="L2" s="548"/>
      <c r="M2" s="550"/>
    </row>
    <row r="3" spans="1:14" ht="15" customHeight="1" x14ac:dyDescent="0.3">
      <c r="A3" s="353"/>
      <c r="B3" s="41"/>
      <c r="C3" s="351"/>
      <c r="D3" s="351"/>
      <c r="E3" s="351"/>
      <c r="F3" s="513" t="s">
        <v>25</v>
      </c>
      <c r="G3" s="513"/>
      <c r="H3" s="566">
        <v>45579</v>
      </c>
      <c r="I3" s="566"/>
      <c r="J3" s="421"/>
      <c r="K3" s="421"/>
      <c r="L3" s="547" t="s">
        <v>783</v>
      </c>
      <c r="M3" s="549"/>
    </row>
    <row r="4" spans="1:14" ht="12.75" customHeight="1" thickBot="1" x14ac:dyDescent="0.35">
      <c r="A4" s="354"/>
      <c r="B4" s="38"/>
      <c r="C4" s="132"/>
      <c r="D4" s="37"/>
      <c r="E4" s="37"/>
      <c r="F4" s="36"/>
      <c r="G4" s="133"/>
      <c r="H4" s="147"/>
      <c r="I4" s="147"/>
      <c r="J4" s="512"/>
      <c r="K4" s="512"/>
      <c r="L4" s="548"/>
      <c r="M4" s="550"/>
    </row>
    <row r="5" spans="1:14" ht="23.25" customHeight="1" x14ac:dyDescent="0.3">
      <c r="A5" s="564" t="s">
        <v>24</v>
      </c>
      <c r="B5" s="562" t="s">
        <v>23</v>
      </c>
      <c r="C5" s="562"/>
      <c r="D5" s="562" t="s">
        <v>22</v>
      </c>
      <c r="E5" s="560" t="s">
        <v>46</v>
      </c>
      <c r="F5" s="129" t="s">
        <v>20</v>
      </c>
      <c r="G5" s="128" t="s">
        <v>19</v>
      </c>
      <c r="H5" s="129" t="s">
        <v>20</v>
      </c>
      <c r="I5" s="128" t="s">
        <v>19</v>
      </c>
      <c r="J5" s="129" t="s">
        <v>20</v>
      </c>
      <c r="K5" s="131" t="s">
        <v>19</v>
      </c>
      <c r="L5" s="129" t="s">
        <v>20</v>
      </c>
      <c r="M5" s="131" t="s">
        <v>19</v>
      </c>
    </row>
    <row r="6" spans="1:14" ht="12.75" customHeight="1" thickBot="1" x14ac:dyDescent="0.35">
      <c r="A6" s="565"/>
      <c r="B6" s="563"/>
      <c r="C6" s="563"/>
      <c r="D6" s="563"/>
      <c r="E6" s="561"/>
      <c r="F6" s="542" t="s">
        <v>79</v>
      </c>
      <c r="G6" s="543"/>
      <c r="H6" s="542" t="s">
        <v>78</v>
      </c>
      <c r="I6" s="543"/>
      <c r="J6" s="542" t="s">
        <v>79</v>
      </c>
      <c r="K6" s="543"/>
      <c r="L6" s="542" t="s">
        <v>78</v>
      </c>
      <c r="M6" s="543"/>
    </row>
    <row r="7" spans="1:14" ht="31.5" customHeight="1" thickBot="1" x14ac:dyDescent="0.35">
      <c r="A7" s="625" t="s">
        <v>929</v>
      </c>
      <c r="B7" s="420"/>
      <c r="C7" s="420"/>
      <c r="D7" s="420"/>
      <c r="E7" s="626"/>
      <c r="F7" s="544" t="s">
        <v>1089</v>
      </c>
      <c r="G7" s="545"/>
      <c r="H7" s="545"/>
      <c r="I7" s="546"/>
      <c r="J7" s="544" t="s">
        <v>58</v>
      </c>
      <c r="K7" s="545"/>
      <c r="L7" s="545"/>
      <c r="M7" s="546"/>
    </row>
    <row r="8" spans="1:14" ht="14.25" customHeight="1" x14ac:dyDescent="0.4">
      <c r="A8" s="597" t="s">
        <v>784</v>
      </c>
      <c r="B8" s="599"/>
      <c r="C8" s="600"/>
      <c r="D8" s="87" t="s">
        <v>73</v>
      </c>
      <c r="E8" s="86">
        <v>1200</v>
      </c>
      <c r="F8" s="84">
        <f>GETPIVOTDATA("Значение",Лист1!$B$2,"Серия","Экспресс","Тип_шкафа","2-х дверный купе","Ширина",1200,"Высота",2200,"Глубина",600,"Наименование шкафа на сайте","Экспресс 2 Хит 2-х дверный (ЛДСП)","Признак_ВИ_Шкафа","Основной вариант")</f>
        <v>15240</v>
      </c>
      <c r="G8" s="85"/>
      <c r="H8" s="85"/>
      <c r="I8" s="85"/>
      <c r="J8" s="84">
        <f>GETPIVOTDATA("Значение",Лист1!$B$2,"Серия","Экспресс","Тип_шкафа","2-х дверный купе","Ширина",1200,"Высота",2200,"Глубина",600,"Наименование шкафа на сайте","Экспресс 2 Хит 2-х дверный (ЛДСП)","Признак_ВИ_Шкафа","Новый вариант")</f>
        <v>17060</v>
      </c>
      <c r="K8" s="536"/>
      <c r="L8" s="536"/>
      <c r="M8" s="537"/>
    </row>
    <row r="9" spans="1:14" ht="14.25" customHeight="1" x14ac:dyDescent="0.4">
      <c r="A9" s="598"/>
      <c r="B9" s="601"/>
      <c r="C9" s="602"/>
      <c r="D9" s="83" t="s">
        <v>14</v>
      </c>
      <c r="E9" s="82">
        <v>1200</v>
      </c>
      <c r="F9" s="80">
        <f>GETPIVOTDATA("Значение",Лист1!$B$2,"Серия","Экспресс","Тип_шкафа","2-х дверный купе","Ширина",1200,"Высота",2200,"Глубина",600,"Наименование шкафа на сайте","Экспресс 2 Хит 2-х дверный (ЛДСП, Зеркало)","Признак_ВИ_Шкафа","Основной вариант")</f>
        <v>16140</v>
      </c>
      <c r="G9" s="81"/>
      <c r="H9" s="81"/>
      <c r="I9" s="81"/>
      <c r="J9" s="80">
        <f>GETPIVOTDATA("Значение",Лист1!$B$2,"Серия","Экспресс","Тип_шкафа","2-х дверный купе","Ширина",1200,"Высота",2200,"Глубина",600,"Наименование шкафа на сайте","Экспресс 2 Хит 2-х дверный (ЛДСП, Зеркало)","Признак_ВИ_Шкафа","Новый вариант")</f>
        <v>17580</v>
      </c>
      <c r="K9" s="624"/>
      <c r="L9" s="624"/>
      <c r="M9" s="539"/>
    </row>
    <row r="10" spans="1:14" ht="14.25" customHeight="1" thickBot="1" x14ac:dyDescent="0.45">
      <c r="A10" s="598"/>
      <c r="B10" s="601"/>
      <c r="C10" s="602"/>
      <c r="D10" s="83" t="s">
        <v>13</v>
      </c>
      <c r="E10" s="82">
        <v>1200</v>
      </c>
      <c r="F10" s="80">
        <f>GETPIVOTDATA("Значение",Лист1!$B$2,"Серия","Экспресс","Тип_шкафа","2-х дверный купе","Ширина",1200,"Высота",2200,"Глубина",600,"Наименование шкафа на сайте","Экспресс 2 Хит 2-х дверный (Зеркало)","Признак_ВИ_Шкафа","Основной вариант")</f>
        <v>17040</v>
      </c>
      <c r="G10" s="81"/>
      <c r="H10" s="81"/>
      <c r="I10" s="81"/>
      <c r="J10" s="80">
        <f>GETPIVOTDATA("Значение",Лист1!$B$2,"Серия","Экспресс","Тип_шкафа","2-х дверный купе","Ширина",1200,"Высота",2200,"Глубина",600,"Наименование шкафа на сайте","Экспресс 2 Хит 2-х дверный (Зеркало)","Признак_ВИ_Шкафа","Новый вариант")</f>
        <v>18100</v>
      </c>
      <c r="K10" s="624"/>
      <c r="L10" s="624"/>
      <c r="M10" s="539"/>
    </row>
    <row r="11" spans="1:14" ht="14.25" customHeight="1" thickBot="1" x14ac:dyDescent="0.45">
      <c r="A11" s="580" t="s">
        <v>785</v>
      </c>
      <c r="B11" s="581"/>
      <c r="C11" s="581"/>
      <c r="D11" s="581"/>
      <c r="E11" s="582"/>
      <c r="F11" s="261"/>
      <c r="G11" s="262"/>
      <c r="H11" s="262"/>
      <c r="I11" s="262"/>
      <c r="J11" s="261"/>
      <c r="K11" s="241"/>
      <c r="L11" s="241"/>
      <c r="M11" s="242"/>
    </row>
    <row r="12" spans="1:14" ht="17.25" customHeight="1" x14ac:dyDescent="0.3">
      <c r="A12" s="583" t="s">
        <v>2</v>
      </c>
      <c r="B12" s="386"/>
      <c r="C12" s="387"/>
      <c r="D12" s="532" t="s">
        <v>73</v>
      </c>
      <c r="E12" s="14">
        <v>1200</v>
      </c>
      <c r="F12" s="24">
        <f>GETPIVOTDATA("Значение",Лист1!$B$2,"Серия","Экспресс","Тип_шкафа","2-х дверный купе","Ширина",1200,"Высота",2200,"Глубина",600,"Наименование шкафа на сайте","Экспресс 2 2-х дверный (ЛДСП)","Признак_ВИ_Шкафа","Основной вариант")</f>
        <v>16920</v>
      </c>
      <c r="G12" s="239">
        <f>GETPIVOTDATA("Значение",Лист1!$B$2,"Серия","Экспресс","Тип_шкафа","2-х дверный купе","Ширина",1200,"Высота",2400,"Глубина",600,"Наименование шкафа на сайте","Экспресс 2 2-х дверный (ЛДСП)","Признак_ВИ_Шкафа","Основной вариант")</f>
        <v>18420</v>
      </c>
      <c r="H12" s="24">
        <f>GETPIVOTDATA("Значение",Лист1!$B$2,"Серия","Экспресс","Тип_шкафа","2-х дверный купе","Ширина",1200,"Высота",2200,"Глубина",440,"Наименование шкафа на сайте","Экспресс 2 2-х дверный (ЛДСП)","Признак_ВИ_Шкафа","Основной вариант")</f>
        <v>14880</v>
      </c>
      <c r="I12" s="239">
        <f>GETPIVOTDATA("Значение",Лист1!$B$2,"Серия","Экспресс","Тип_шкафа","2-х дверный купе","Ширина",1200,"Высота",2400,"Глубина",440,"Наименование шкафа на сайте","Экспресс 2 2-х дверный (ЛДСП)","Признак_ВИ_Шкафа","Основной вариант")</f>
        <v>16060</v>
      </c>
      <c r="J12" s="24">
        <f>GETPIVOTDATA("Значение",Лист1!$B$2,"Серия","Экспресс","Тип_шкафа","2-х дверный купе","Ширина",1200,"Высота",2200,"Глубина",600,"Наименование шкафа на сайте","Экспресс 2 2-х дверный (ЛДСП)","Признак_ВИ_Шкафа","Новый вариант")</f>
        <v>18940</v>
      </c>
      <c r="K12" s="239">
        <f>GETPIVOTDATA("Значение",Лист1!$B$2,"Серия","Экспресс","Тип_шкафа","2-х дверный купе","Ширина",1200,"Высота",2400,"Глубина",600,"Наименование шкафа на сайте","Экспресс 2 2-х дверный (ЛДСП)","Признак_ВИ_Шкафа","Новый вариант")</f>
        <v>20620</v>
      </c>
      <c r="L12" s="24">
        <f>GETPIVOTDATA("Значение",Лист1!$B$2,"Серия","Экспресс","Тип_шкафа","2-х дверный купе","Ширина",1200,"Высота",2200,"Глубина",440,"Наименование шкафа на сайте","Экспресс 2 2-х дверный (ЛДСП)","Признак_ВИ_Шкафа","Новый вариант")</f>
        <v>16660</v>
      </c>
      <c r="M12" s="239">
        <f>GETPIVOTDATA("Значение",Лист1!$B$2,"Серия","Экспресс","Тип_шкафа","2-х дверный купе","Ширина",1200,"Высота",2400,"Глубина",440,"Наименование шкафа на сайте","Экспресс 2 2-х дверный (ЛДСП)","Признак_ВИ_Шкафа","Новый вариант")</f>
        <v>18000</v>
      </c>
      <c r="N12" s="34"/>
    </row>
    <row r="13" spans="1:14" ht="17.25" customHeight="1" x14ac:dyDescent="0.3">
      <c r="A13" s="584"/>
      <c r="B13" s="388"/>
      <c r="C13" s="389"/>
      <c r="D13" s="525"/>
      <c r="E13" s="12">
        <v>1400</v>
      </c>
      <c r="F13" s="21">
        <f>GETPIVOTDATA("Значение",Лист1!$B$2,"Серия","Экспресс","Тип_шкафа","2-х дверный купе","Ширина",1400,"Высота",2200,"Глубина",600,"Наименование шкафа на сайте","Экспресс 2 2-х дверный (ЛДСП)","Признак_ВИ_Шкафа","Основной вариант")</f>
        <v>19460</v>
      </c>
      <c r="G13" s="236">
        <f>GETPIVOTDATA("Значение",Лист1!$B$2,"Серия","Экспресс","Тип_шкафа","2-х дверный купе","Ширина",1400,"Высота",2400,"Глубина",600,"Наименование шкафа на сайте","Экспресс 2 2-х дверный (ЛДСП)","Признак_ВИ_Шкафа","Основной вариант")</f>
        <v>21410</v>
      </c>
      <c r="H13" s="21">
        <f>GETPIVOTDATA("Значение",Лист1!$B$2,"Серия","Экспресс","Тип_шкафа","2-х дверный купе","Ширина",1400,"Высота",2200,"Глубина",440,"Наименование шкафа на сайте","Экспресс 2 2-х дверный (ЛДСП)","Признак_ВИ_Шкафа","Основной вариант")</f>
        <v>17210</v>
      </c>
      <c r="I13" s="236">
        <f>GETPIVOTDATA("Значение",Лист1!$B$2,"Серия","Экспресс","Тип_шкафа","2-х дверный купе","Ширина",1400,"Высота",2400,"Глубина",440,"Наименование шкафа на сайте","Экспресс 2 2-х дверный (ЛДСП)","Признак_ВИ_Шкафа","Основной вариант")</f>
        <v>18330</v>
      </c>
      <c r="J13" s="21">
        <f>GETPIVOTDATA("Значение",Лист1!$B$2,"Серия","Экспресс","Тип_шкафа","2-х дверный купе","Ширина",1400,"Высота",2200,"Глубина",600,"Наименование шкафа на сайте","Экспресс 2 2-х дверный (ЛДСП)","Признак_ВИ_Шкафа","Новый вариант")</f>
        <v>21780</v>
      </c>
      <c r="K13" s="236">
        <f>GETPIVOTDATA("Значение",Лист1!$B$2,"Серия","Экспресс","Тип_шкафа","2-х дверный купе","Ширина",1400,"Высота",2400,"Глубина",600,"Наименование шкафа на сайте","Экспресс 2 2-х дверный (ЛДСП)","Признак_ВИ_Шкафа","Новый вариант")</f>
        <v>24000</v>
      </c>
      <c r="L13" s="21">
        <f>GETPIVOTDATA("Значение",Лист1!$B$2,"Серия","Экспресс","Тип_шкафа","2-х дверный купе","Ширина",1400,"Высота",2200,"Глубина",440,"Наименование шкафа на сайте","Экспресс 2 2-х дверный (ЛДСП)","Признак_ВИ_Шкафа","Новый вариант")</f>
        <v>19260</v>
      </c>
      <c r="M13" s="236">
        <f>GETPIVOTDATA("Значение",Лист1!$B$2,"Серия","Экспресс","Тип_шкафа","2-х дверный купе","Ширина",1400,"Высота",2400,"Глубина",440,"Наименование шкафа на сайте","Экспресс 2 2-х дверный (ЛДСП)","Признак_ВИ_Шкафа","Новый вариант")</f>
        <v>20540</v>
      </c>
      <c r="N13" s="34"/>
    </row>
    <row r="14" spans="1:14" ht="17.25" customHeight="1" x14ac:dyDescent="0.3">
      <c r="A14" s="584"/>
      <c r="B14" s="388"/>
      <c r="C14" s="389"/>
      <c r="D14" s="525"/>
      <c r="E14" s="12">
        <v>1600</v>
      </c>
      <c r="F14" s="21">
        <f>GETPIVOTDATA("Значение",Лист1!$B$2,"Серия","Экспресс","Тип_шкафа","2-х дверный купе","Ширина",1600,"Высота",2200,"Глубина",600,"Наименование шкафа на сайте","Экспресс 2 2-х дверный (ЛДСП)","Признак_ВИ_Шкафа","Основной вариант")</f>
        <v>21720</v>
      </c>
      <c r="G14" s="236">
        <f>GETPIVOTDATA("Значение",Лист1!$B$2,"Серия","Экспресс","Тип_шкафа","2-х дверный купе","Ширина",1600,"Высота",2400,"Глубина",600,"Наименование шкафа на сайте","Экспресс 2 2-х дверный (ЛДСП)","Признак_ВИ_Шкафа","Основной вариант")</f>
        <v>23700</v>
      </c>
      <c r="H14" s="21">
        <f>GETPIVOTDATA("Значение",Лист1!$B$2,"Серия","Экспресс","Тип_шкафа","2-х дверный купе","Ширина",1600,"Высота",2200,"Глубина",440,"Наименование шкафа на сайте","Экспресс 2 2-х дверный (ЛДСП)","Признак_ВИ_Шкафа","Основной вариант")</f>
        <v>19290</v>
      </c>
      <c r="I14" s="236">
        <f>GETPIVOTDATA("Значение",Лист1!$B$2,"Серия","Экспресс","Тип_шкафа","2-х дверный купе","Ширина",1600,"Высота",2400,"Глубина",440,"Наименование шкафа на сайте","Экспресс 2 2-х дверный (ЛДСП)","Признак_ВИ_Шкафа","Основной вариант")</f>
        <v>20430</v>
      </c>
      <c r="J14" s="21">
        <f>GETPIVOTDATA("Значение",Лист1!$B$2,"Серия","Экспресс","Тип_шкафа","2-х дверный купе","Ширина",1600,"Высота",2200,"Глубина",600,"Наименование шкафа на сайте","Экспресс 2 2-х дверный (ЛДСП)","Признак_ВИ_Шкафа","Новый вариант")</f>
        <v>24340</v>
      </c>
      <c r="K14" s="236">
        <f>GETPIVOTDATA("Значение",Лист1!$B$2,"Серия","Экспресс","Тип_шкафа","2-х дверный купе","Ширина",1600,"Высота",2400,"Глубина",600,"Наименование шкафа на сайте","Экспресс 2 2-х дверный (ЛДСП)","Признак_ВИ_Шкафа","Новый вариант")</f>
        <v>26510</v>
      </c>
      <c r="L14" s="21">
        <f>GETPIVOTDATA("Значение",Лист1!$B$2,"Серия","Экспресс","Тип_шкафа","2-х дверный купе","Ширина",1600,"Высота",2200,"Глубина",440,"Наименование шкафа на сайте","Экспресс 2 2-х дверный (ЛДСП)","Признак_ВИ_Шкафа","Новый вариант")</f>
        <v>21630</v>
      </c>
      <c r="M14" s="236">
        <f>GETPIVOTDATA("Значение",Лист1!$B$2,"Серия","Экспресс","Тип_шкафа","2-х дверный купе","Ширина",1600,"Высота",2400,"Глубина",440,"Наименование шкафа на сайте","Экспресс 2 2-х дверный (ЛДСП)","Признак_ВИ_Шкафа","Новый вариант")</f>
        <v>22880</v>
      </c>
      <c r="N14" s="33"/>
    </row>
    <row r="15" spans="1:14" ht="17.25" customHeight="1" x14ac:dyDescent="0.3">
      <c r="A15" s="584"/>
      <c r="B15" s="390"/>
      <c r="C15" s="391"/>
      <c r="D15" s="533"/>
      <c r="E15" s="12">
        <v>1800</v>
      </c>
      <c r="F15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 2-х дверный (ЛДСП)","Признак_ВИ_Шкафа","Основной вариант")</f>
        <v>24050</v>
      </c>
      <c r="G15" s="236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 2-х дверный (ЛДСП)","Признак_ВИ_Шкафа","Основной вариант")</f>
        <v>26240</v>
      </c>
      <c r="H15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 2-х дверный (ЛДСП)","Признак_ВИ_Шкафа","Основной вариант")</f>
        <v>21180</v>
      </c>
      <c r="I15" s="236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 2-х дверный (ЛДСП)","Признак_ВИ_Шкафа","Основной вариант")</f>
        <v>22470</v>
      </c>
      <c r="J15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 2-х дверный (ЛДСП)","Признак_ВИ_Шкафа","Новый вариант")</f>
        <v>26960</v>
      </c>
      <c r="K15" s="236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 2-х дверный (ЛДСП)","Признак_ВИ_Шкафа","Новый вариант")</f>
        <v>29370</v>
      </c>
      <c r="L15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 2-х дверный (ЛДСП)","Признак_ВИ_Шкафа","Новый вариант")</f>
        <v>23760</v>
      </c>
      <c r="M15" s="236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 2-х дверный (ЛДСП)","Признак_ВИ_Шкафа","Новый вариант")</f>
        <v>25160</v>
      </c>
      <c r="N15" s="33"/>
    </row>
    <row r="16" spans="1:14" ht="17.25" customHeight="1" x14ac:dyDescent="0.3">
      <c r="A16" s="584"/>
      <c r="B16" s="360"/>
      <c r="C16" s="361"/>
      <c r="D16" s="534" t="s">
        <v>14</v>
      </c>
      <c r="E16" s="12">
        <v>1200</v>
      </c>
      <c r="F16" s="243">
        <f>GETPIVOTDATA("Значение",Лист1!$B$2,"Серия","Экспресс","Тип_шкафа","2-х дверный купе","Ширина",1200,"Высота",2200,"Глубина",600,"Наименование шкафа на сайте","Экспресс 2 2-х дверный (ЛДСП, Зеркало)","Признак_ВИ_Шкафа","Основной вариант")</f>
        <v>17820</v>
      </c>
      <c r="G16" s="240">
        <f>GETPIVOTDATA("Значение",Лист1!$B$2,"Серия","Экспресс","Тип_шкафа","2-х дверный купе","Ширина",1200,"Высота",2400,"Глубина",600,"Наименование шкафа на сайте","Экспресс 2 2-х дверный (ЛДСП, Зеркало)","Признак_ВИ_Шкафа","Основной вариант")</f>
        <v>19470</v>
      </c>
      <c r="H16" s="31">
        <f>GETPIVOTDATA("Значение",Лист1!$B$2,"Серия","Экспресс","Тип_шкафа","2-х дверный купе","Ширина",1200,"Высота",2200,"Глубина",440,"Наименование шкафа на сайте","Экспресс 2 2-х дверный (ЛДСП, Зеркало)","Признак_ВИ_Шкафа","Основной вариант")</f>
        <v>15780</v>
      </c>
      <c r="I16" s="240">
        <f>GETPIVOTDATA("Значение",Лист1!$B$2,"Серия","Экспресс","Тип_шкафа","2-х дверный купе","Ширина",1200,"Высота",2400,"Глубина",440,"Наименование шкафа на сайте","Экспресс 2 2-х дверный (ЛДСП, Зеркало)","Признак_ВИ_Шкафа","Основной вариант")</f>
        <v>17110</v>
      </c>
      <c r="J16" s="243">
        <f>GETPIVOTDATA("Значение",Лист1!$B$2,"Серия","Экспресс","Тип_шкафа","2-х дверный купе","Ширина",1200,"Высота",2200,"Глубина",600,"Наименование шкафа на сайте","Экспресс 2 2-х дверный (ЛДСП, Зеркало)","Признак_ВИ_Шкафа","Новый вариант")</f>
        <v>19460</v>
      </c>
      <c r="K16" s="238">
        <f>GETPIVOTDATA("Значение",Лист1!$B$2,"Серия","Экспресс","Тип_шкафа","2-х дверный купе","Ширина",1200,"Высота",2400,"Глубина",600,"Наименование шкафа на сайте","Экспресс 2 2-х дверный (ЛДСП, Зеркало)","Признак_ВИ_Шкафа","Новый вариант")</f>
        <v>21250</v>
      </c>
      <c r="L16" s="243">
        <f>GETPIVOTDATA("Значение",Лист1!$B$2,"Серия","Экспресс","Тип_шкафа","2-х дверный купе","Ширина",1200,"Высота",2200,"Глубина",440,"Наименование шкафа на сайте","Экспресс 2 2-х дверный (ЛДСП, Зеркало)","Признак_ВИ_Шкафа","Новый вариант")</f>
        <v>17180</v>
      </c>
      <c r="M16" s="238">
        <f>GETPIVOTDATA("Значение",Лист1!$B$2,"Серия","Экспресс","Тип_шкафа","2-х дверный купе","Ширина",1200,"Высота",2400,"Глубина",440,"Наименование шкафа на сайте","Экспресс 2 2-х дверный (ЛДСП, Зеркало)","Признак_ВИ_Шкафа","Новый вариант")</f>
        <v>18630</v>
      </c>
      <c r="N16" s="33"/>
    </row>
    <row r="17" spans="1:14" ht="17.25" customHeight="1" x14ac:dyDescent="0.3">
      <c r="A17" s="584"/>
      <c r="B17" s="362"/>
      <c r="C17" s="363"/>
      <c r="D17" s="525"/>
      <c r="E17" s="12">
        <v>1400</v>
      </c>
      <c r="F17" s="18">
        <f>GETPIVOTDATA("Значение",Лист1!$B$2,"Серия","Экспресс","Тип_шкафа","2-х дверный купе","Ширина",1400,"Высота",2200,"Глубина",600,"Наименование шкафа на сайте","Экспресс 2 2-х дверный (ЛДСП, Зеркало)","Признак_ВИ_Шкафа","Основной вариант")</f>
        <v>20210</v>
      </c>
      <c r="G17" s="236">
        <f>GETPIVOTDATA("Значение",Лист1!$B$2,"Серия","Экспресс","Тип_шкафа","2-х дверный купе","Ширина",1400,"Высота",2400,"Глубина",600,"Наименование шкафа на сайте","Экспресс 2 2-х дверный (ЛДСП, Зеркало)","Признак_ВИ_Шкафа","Основной вариант")</f>
        <v>22170</v>
      </c>
      <c r="H17" s="21">
        <f>GETPIVOTDATA("Значение",Лист1!$B$2,"Серия","Экспресс","Тип_шкафа","2-х дверный купе","Ширина",1400,"Высота",2200,"Глубина",440,"Наименование шкафа на сайте","Экспресс 2 2-х дверный (ЛДСП, Зеркало)","Признак_ВИ_Шкафа","Основной вариант")</f>
        <v>17960</v>
      </c>
      <c r="I17" s="236">
        <f>GETPIVOTDATA("Значение",Лист1!$B$2,"Серия","Экспресс","Тип_шкафа","2-х дверный купе","Ширина",1400,"Высота",2400,"Глубина",440,"Наименование шкафа на сайте","Экспресс 2 2-х дверный (ЛДСП, Зеркало)","Признак_ВИ_Шкафа","Основной вариант")</f>
        <v>19090</v>
      </c>
      <c r="J17" s="18">
        <f>GETPIVOTDATA("Значение",Лист1!$B$2,"Серия","Экспресс","Тип_шкафа","2-х дверный купе","Ширина",1400,"Высота",2200,"Глубина",600,"Наименование шкафа на сайте","Экспресс 2 2-х дверный (ЛДСП, Зеркало)","Признак_ВИ_Шкафа","Новый вариант")</f>
        <v>22050</v>
      </c>
      <c r="K17" s="237">
        <f>GETPIVOTDATA("Значение",Лист1!$B$2,"Серия","Экспресс","Тип_шкафа","2-х дверный купе","Ширина",1400,"Высота",2400,"Глубина",600,"Наименование шкафа на сайте","Экспресс 2 2-х дверный (ЛДСП, Зеркало)","Признак_ВИ_Шкафа","Новый вариант")</f>
        <v>24210</v>
      </c>
      <c r="L17" s="18">
        <f>GETPIVOTDATA("Значение",Лист1!$B$2,"Серия","Экспресс","Тип_шкафа","2-х дверный купе","Ширина",1400,"Высота",2200,"Глубина",440,"Наименование шкафа на сайте","Экспресс 2 2-х дверный (ЛДСП, Зеркало)","Признак_ВИ_Шкафа","Новый вариант")</f>
        <v>19530</v>
      </c>
      <c r="M17" s="237">
        <f>GETPIVOTDATA("Значение",Лист1!$B$2,"Серия","Экспресс","Тип_шкафа","2-х дверный купе","Ширина",1400,"Высота",2400,"Глубина",440,"Наименование шкафа на сайте","Экспресс 2 2-х дверный (ЛДСП, Зеркало)","Признак_ВИ_Шкафа","Новый вариант")</f>
        <v>20750</v>
      </c>
      <c r="N17" s="33"/>
    </row>
    <row r="18" spans="1:14" ht="17.25" customHeight="1" x14ac:dyDescent="0.3">
      <c r="A18" s="584"/>
      <c r="B18" s="362"/>
      <c r="C18" s="363"/>
      <c r="D18" s="525"/>
      <c r="E18" s="12">
        <v>1600</v>
      </c>
      <c r="F18" s="21">
        <f>GETPIVOTDATA("Значение",Лист1!$B$2,"Серия","Экспресс","Тип_шкафа","2-х дверный купе","Ширина",1600,"Высота",2200,"Глубина",600,"Наименование шкафа на сайте","Экспресс 2 2-х дверный (ЛДСП, Зеркало)","Признак_ВИ_Шкафа","Основной вариант")</f>
        <v>22630</v>
      </c>
      <c r="G18" s="236">
        <f>GETPIVOTDATA("Значение",Лист1!$B$2,"Серия","Экспресс","Тип_шкафа","2-х дверный купе","Ширина",1600,"Высота",2400,"Глубина",600,"Наименование шкафа на сайте","Экспресс 2 2-х дверный (ЛДСП, Зеркало)","Признак_ВИ_Шкафа","Основной вариант")</f>
        <v>24600</v>
      </c>
      <c r="H18" s="21">
        <f>GETPIVOTDATA("Значение",Лист1!$B$2,"Серия","Экспресс","Тип_шкафа","2-х дверный купе","Ширина",1600,"Высота",2200,"Глубина",440,"Наименование шкафа на сайте","Экспресс 2 2-х дверный (ЛДСП, Зеркало)","Признак_ВИ_Шкафа","Основной вариант")</f>
        <v>20200</v>
      </c>
      <c r="I18" s="236">
        <f>GETPIVOTDATA("Значение",Лист1!$B$2,"Серия","Экспресс","Тип_шкафа","2-х дверный купе","Ширина",1600,"Высота",2400,"Глубина",440,"Наименование шкафа на сайте","Экспресс 2 2-х дверный (ЛДСП, Зеркало)","Признак_ВИ_Шкафа","Основной вариант")</f>
        <v>21330</v>
      </c>
      <c r="J18" s="21">
        <f>GETPIVOTDATA("Значение",Лист1!$B$2,"Серия","Экспресс","Тип_шкафа","2-х дверный купе","Ширина",1600,"Высота",2200,"Глубина",600,"Наименование шкафа на сайте","Экспресс 2 2-х дверный (ЛДСП, Зеркало)","Признак_ВИ_Шкафа","Новый вариант")</f>
        <v>24660</v>
      </c>
      <c r="K18" s="236">
        <f>GETPIVOTDATA("Значение",Лист1!$B$2,"Серия","Экспресс","Тип_шкафа","2-х дверный купе","Ширина",1600,"Высота",2400,"Глубина",600,"Наименование шкафа на сайте","Экспресс 2 2-х дверный (ЛДСП, Зеркало)","Признак_ВИ_Шкафа","Новый вариант")</f>
        <v>26780</v>
      </c>
      <c r="L18" s="21">
        <f>GETPIVOTDATA("Значение",Лист1!$B$2,"Серия","Экспресс","Тип_шкафа","2-х дверный купе","Ширина",1600,"Высота",2200,"Глубина",440,"Наименование шкафа на сайте","Экспресс 2 2-х дверный (ЛДСП, Зеркало)","Признак_ВИ_Шкафа","Новый вариант")</f>
        <v>21950</v>
      </c>
      <c r="M18" s="236">
        <f>GETPIVOTDATA("Значение",Лист1!$B$2,"Серия","Экспресс","Тип_шкафа","2-х дверный купе","Ширина",1600,"Высота",2400,"Глубина",440,"Наименование шкафа на сайте","Экспресс 2 2-х дверный (ЛДСП, Зеркало)","Признак_ВИ_Шкафа","Новый вариант")</f>
        <v>23150</v>
      </c>
      <c r="N18" s="33"/>
    </row>
    <row r="19" spans="1:14" ht="17.25" customHeight="1" x14ac:dyDescent="0.3">
      <c r="A19" s="584"/>
      <c r="B19" s="358"/>
      <c r="C19" s="359"/>
      <c r="D19" s="533"/>
      <c r="E19" s="12">
        <v>1800</v>
      </c>
      <c r="F19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2-х дверный (Зеркало, ЛДСП)","Признак_ВИ_Шкафа","Основной вариант")</f>
        <v>25020</v>
      </c>
      <c r="G19" s="236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2-х дверный (Зеркало, ЛДСП)","Признак_ВИ_Шкафа","Основной вариант")</f>
        <v>27200</v>
      </c>
      <c r="H19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2-х дверный (Зеркало, ЛДСП)","Признак_ВИ_Шкафа","Основной вариант")</f>
        <v>22150</v>
      </c>
      <c r="I19" s="236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2-х дверный (Зеркало, ЛДСП)","Признак_ВИ_Шкафа","Основной вариант")</f>
        <v>23430</v>
      </c>
      <c r="J19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2-х дверный (Зеркало, ЛДСП)","Признак_ВИ_Шкафа","Новый вариант")</f>
        <v>27300</v>
      </c>
      <c r="K19" s="236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2-х дверный (Зеркало, ЛДСП)","Признак_ВИ_Шкафа","Новый вариант")</f>
        <v>29660</v>
      </c>
      <c r="L19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2-х дверный (Зеркало, ЛДСП)","Признак_ВИ_Шкафа","Новый вариант")</f>
        <v>24100</v>
      </c>
      <c r="M19" s="236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2-х дверный (Зеркало, ЛДСП)","Признак_ВИ_Шкафа","Новый вариант")</f>
        <v>25450</v>
      </c>
      <c r="N19" s="33"/>
    </row>
    <row r="20" spans="1:14" ht="17.25" customHeight="1" x14ac:dyDescent="0.3">
      <c r="A20" s="584"/>
      <c r="B20" s="360"/>
      <c r="C20" s="361"/>
      <c r="D20" s="534" t="s">
        <v>72</v>
      </c>
      <c r="E20" s="12">
        <v>1200</v>
      </c>
      <c r="F20" s="243">
        <f>GETPIVOTDATA("Значение",Лист1!$B$2,"Серия","Экспресс","Тип_шкафа","2-х дверный купе","Ширина",1200,"Высота",2200,"Глубина",600,"Наименование шкафа на сайте","Экспресс 2 2-х дверный (Зеркало)","Признак_ВИ_Шкафа","Основной вариант")</f>
        <v>18720</v>
      </c>
      <c r="G20" s="240">
        <f>GETPIVOTDATA("Значение",Лист1!$B$2,"Серия","Экспресс","Тип_шкафа","2-х дверный купе","Ширина",1200,"Высота",2400,"Глубина",600,"Наименование шкафа на сайте","Экспресс 2 2-х дверный (Зеркало)","Признак_ВИ_Шкафа","Основной вариант")</f>
        <v>20520</v>
      </c>
      <c r="H20" s="31">
        <f>GETPIVOTDATA("Значение",Лист1!$B$2,"Серия","Экспресс","Тип_шкафа","2-х дверный купе","Ширина",1200,"Высота",2200,"Глубина",440,"Наименование шкафа на сайте","Экспресс 2 2-х дверный (Зеркало)","Признак_ВИ_Шкафа","Основной вариант")</f>
        <v>16680</v>
      </c>
      <c r="I20" s="240">
        <f>GETPIVOTDATA("Значение",Лист1!$B$2,"Серия","Экспресс","Тип_шкафа","2-х дверный купе","Ширина",1200,"Высота",2400,"Глубина",440,"Наименование шкафа на сайте","Экспресс 2 2-х дверный (Зеркало)","Признак_ВИ_Шкафа","Основной вариант")</f>
        <v>18160</v>
      </c>
      <c r="J20" s="243">
        <f>GETPIVOTDATA("Значение",Лист1!$B$2,"Серия","Экспресс","Тип_шкафа","2-х дверный купе","Ширина",1200,"Высота",2200,"Глубина",600,"Наименование шкафа на сайте","Экспресс 2 2-х дверный (Зеркало)","Признак_ВИ_Шкафа","Новый вариант")</f>
        <v>19980</v>
      </c>
      <c r="K20" s="238">
        <f>GETPIVOTDATA("Значение",Лист1!$B$2,"Серия","Экспресс","Тип_шкафа","2-х дверный купе","Ширина",1200,"Высота",2400,"Глубина",600,"Наименование шкафа на сайте","Экспресс 2 2-х дверный (Зеркало)","Признак_ВИ_Шкафа","Новый вариант")</f>
        <v>21880</v>
      </c>
      <c r="L20" s="243">
        <f>GETPIVOTDATA("Значение",Лист1!$B$2,"Серия","Экспресс","Тип_шкафа","2-х дверный купе","Ширина",1200,"Высота",2200,"Глубина",440,"Наименование шкафа на сайте","Экспресс 2 2-х дверный (Зеркало)","Признак_ВИ_Шкафа","Новый вариант")</f>
        <v>17700</v>
      </c>
      <c r="M20" s="238">
        <f>GETPIVOTDATA("Значение",Лист1!$B$2,"Серия","Экспресс","Тип_шкафа","2-х дверный купе","Ширина",1200,"Высота",2400,"Глубина",440,"Наименование шкафа на сайте","Экспресс 2 2-х дверный (Зеркало)","Признак_ВИ_Шкафа","Новый вариант")</f>
        <v>19260</v>
      </c>
      <c r="N20" s="33"/>
    </row>
    <row r="21" spans="1:14" ht="17.25" customHeight="1" x14ac:dyDescent="0.3">
      <c r="A21" s="584"/>
      <c r="B21" s="362"/>
      <c r="C21" s="363"/>
      <c r="D21" s="525"/>
      <c r="E21" s="12">
        <v>1400</v>
      </c>
      <c r="F21" s="18">
        <f>GETPIVOTDATA("Значение",Лист1!$B$2,"Серия","Экспресс","Тип_шкафа","2-х дверный купе","Ширина",1400,"Высота",2200,"Глубина",600,"Наименование шкафа на сайте","Экспресс 2 2-х дверный (Зеркало)","Признак_ВИ_Шкафа","Основной вариант")</f>
        <v>20960</v>
      </c>
      <c r="G21" s="236">
        <f>GETPIVOTDATA("Значение",Лист1!$B$2,"Серия","Экспресс","Тип_шкафа","2-х дверный купе","Ширина",1400,"Высота",2400,"Глубина",600,"Наименование шкафа на сайте","Экспресс 2 2-х дверный (Зеркало)","Признак_ВИ_Шкафа","Основной вариант")</f>
        <v>22930</v>
      </c>
      <c r="H21" s="21">
        <f>GETPIVOTDATA("Значение",Лист1!$B$2,"Серия","Экспресс","Тип_шкафа","2-х дверный купе","Ширина",1400,"Высота",2200,"Глубина",440,"Наименование шкафа на сайте","Экспресс 2 2-х дверный (Зеркало)","Признак_ВИ_Шкафа","Основной вариант")</f>
        <v>18710</v>
      </c>
      <c r="I21" s="236">
        <f>GETPIVOTDATA("Значение",Лист1!$B$2,"Серия","Экспресс","Тип_шкафа","2-х дверный купе","Ширина",1400,"Высота",2400,"Глубина",440,"Наименование шкафа на сайте","Экспресс 2 2-х дверный (Зеркало)","Признак_ВИ_Шкафа","Основной вариант")</f>
        <v>19850</v>
      </c>
      <c r="J21" s="18">
        <f>GETPIVOTDATA("Значение",Лист1!$B$2,"Серия","Экспресс","Тип_шкафа","2-х дверный купе","Ширина",1400,"Высота",2200,"Глубина",600,"Наименование шкафа на сайте","Экспресс 2 2-х дверный (Зеркало)","Признак_ВИ_Шкафа","Новый вариант")</f>
        <v>22320</v>
      </c>
      <c r="K21" s="237">
        <f>GETPIVOTDATA("Значение",Лист1!$B$2,"Серия","Экспресс","Тип_шкафа","2-х дверный купе","Ширина",1400,"Высота",2400,"Глубина",600,"Наименование шкафа на сайте","Экспресс 2 2-х дверный (Зеркало)","Признак_ВИ_Шкафа","Новый вариант")</f>
        <v>24420</v>
      </c>
      <c r="L21" s="18">
        <f>GETPIVOTDATA("Значение",Лист1!$B$2,"Серия","Экспресс","Тип_шкафа","2-х дверный купе","Ширина",1400,"Высота",2200,"Глубина",440,"Наименование шкафа на сайте","Экспресс 2 2-х дверный (Зеркало)","Признак_ВИ_Шкафа","Новый вариант")</f>
        <v>19800</v>
      </c>
      <c r="M21" s="237">
        <f>GETPIVOTDATA("Значение",Лист1!$B$2,"Серия","Экспресс","Тип_шкафа","2-х дверный купе","Ширина",1400,"Высота",2400,"Глубина",440,"Наименование шкафа на сайте","Экспресс 2 2-х дверный (Зеркало)","Признак_ВИ_Шкафа","Новый вариант")</f>
        <v>20960</v>
      </c>
      <c r="N21" s="33"/>
    </row>
    <row r="22" spans="1:14" ht="17.25" customHeight="1" x14ac:dyDescent="0.3">
      <c r="A22" s="584"/>
      <c r="B22" s="362"/>
      <c r="C22" s="363"/>
      <c r="D22" s="525"/>
      <c r="E22" s="12">
        <v>1600</v>
      </c>
      <c r="F22" s="18">
        <f>GETPIVOTDATA("Значение",Лист1!$B$2,"Серия","Экспресс","Тип_шкафа","2-х дверный купе","Ширина",1600,"Высота",2200,"Глубина",600,"Наименование шкафа на сайте","Экспресс 2 2-х дверный (Зеркало)","Признак_ВИ_Шкафа","Основной вариант")</f>
        <v>23540</v>
      </c>
      <c r="G22" s="237">
        <f>GETPIVOTDATA("Значение",Лист1!$B$2,"Серия","Экспресс","Тип_шкафа","2-х дверный купе","Ширина",1600,"Высота",2400,"Глубина",600,"Наименование шкафа на сайте","Экспресс 2 2-х дверный (Зеркало)","Признак_ВИ_Шкафа","Основной вариант")</f>
        <v>25500</v>
      </c>
      <c r="H22" s="18">
        <f>GETPIVOTDATA("Значение",Лист1!$B$2,"Серия","Экспресс","Тип_шкафа","2-х дверный купе","Ширина",1600,"Высота",2200,"Глубина",440,"Наименование шкафа на сайте","Экспресс 2 2-х дверный (Зеркало)","Признак_ВИ_Шкафа","Основной вариант")</f>
        <v>21110</v>
      </c>
      <c r="I22" s="237">
        <f>GETPIVOTDATA("Значение",Лист1!$B$2,"Серия","Экспресс","Тип_шкафа","2-х дверный купе","Ширина",1600,"Высота",2400,"Глубина",440,"Наименование шкафа на сайте","Экспресс 2 2-х дверный (Зеркало)","Признак_ВИ_Шкафа","Основной вариант")</f>
        <v>22230</v>
      </c>
      <c r="J22" s="18">
        <f>GETPIVOTDATA("Значение",Лист1!$B$2,"Серия","Экспресс","Тип_шкафа","2-х дверный купе","Ширина",1600,"Высота",2200,"Глубина",600,"Наименование шкафа на сайте","Экспресс 2 2-х дверный (Зеркало)","Признак_ВИ_Шкафа","Новый вариант")</f>
        <v>24980</v>
      </c>
      <c r="K22" s="237">
        <f>GETPIVOTDATA("Значение",Лист1!$B$2,"Серия","Экспресс","Тип_шкафа","2-х дверный купе","Ширина",1600,"Высота",2400,"Глубина",600,"Наименование шкафа на сайте","Экспресс 2 2-х дверный (Зеркало)","Признак_ВИ_Шкафа","Новый вариант")</f>
        <v>27050</v>
      </c>
      <c r="L22" s="18">
        <f>GETPIVOTDATA("Значение",Лист1!$B$2,"Серия","Экспресс","Тип_шкафа","2-х дверный купе","Ширина",1600,"Высота",2200,"Глубина",440,"Наименование шкафа на сайте","Экспресс 2 2-х дверный (Зеркало)","Признак_ВИ_Шкафа","Новый вариант")</f>
        <v>22270</v>
      </c>
      <c r="M22" s="237">
        <f>GETPIVOTDATA("Значение",Лист1!$B$2,"Серия","Экспресс","Тип_шкафа","2-х дверный купе","Ширина",1600,"Высота",2400,"Глубина",440,"Наименование шкафа на сайте","Экспресс 2 2-х дверный (Зеркало)","Признак_ВИ_Шкафа","Новый вариант")</f>
        <v>23420</v>
      </c>
      <c r="N22" s="33"/>
    </row>
    <row r="23" spans="1:14" ht="17.25" customHeight="1" x14ac:dyDescent="0.3">
      <c r="A23" s="584"/>
      <c r="B23" s="358"/>
      <c r="C23" s="359"/>
      <c r="D23" s="533"/>
      <c r="E23" s="12">
        <v>1800</v>
      </c>
      <c r="F23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 2-х дверный (Зеркало)","Признак_ВИ_Шкафа","Основной вариант")</f>
        <v>25990</v>
      </c>
      <c r="G23" s="236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 2-х дверный (Зеркало)","Признак_ВИ_Шкафа","Основной вариант")</f>
        <v>28160</v>
      </c>
      <c r="H23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 2-х дверный (Зеркало)","Признак_ВИ_Шкафа","Основной вариант")</f>
        <v>23120</v>
      </c>
      <c r="I23" s="236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 2-х дверный (Зеркало)","Признак_ВИ_Шкафа","Основной вариант")</f>
        <v>24390</v>
      </c>
      <c r="J23" s="21">
        <f>GETPIVOTDATA("Значение",Лист1!$B$2,"Серия","Экспресс","Тип_шкафа","2-х дверный купе","Ширина",1800,"Высота",2200,"Глубина",600,"Наименование шкафа на сайте","Широкий Экспресс 2 2-х дверный (Зеркало)","Признак_ВИ_Шкафа","Новый вариант")</f>
        <v>27640</v>
      </c>
      <c r="K23" s="236">
        <f>GETPIVOTDATA("Значение",Лист1!$B$2,"Серия","Экспресс","Тип_шкафа","2-х дверный купе","Ширина",1800,"Высота",2400,"Глубина",600,"Наименование шкафа на сайте","Широкий Экспресс 2 2-х дверный (Зеркало)","Признак_ВИ_Шкафа","Новый вариант")</f>
        <v>29950</v>
      </c>
      <c r="L23" s="21">
        <f>GETPIVOTDATA("Значение",Лист1!$B$2,"Серия","Экспресс","Тип_шкафа","2-х дверный купе","Ширина",1800,"Высота",2200,"Глубина",440,"Наименование шкафа на сайте","Широкий Экспресс 2 2-х дверный (Зеркало)","Признак_ВИ_Шкафа","Новый вариант")</f>
        <v>24440</v>
      </c>
      <c r="M23" s="236">
        <f>GETPIVOTDATA("Значение",Лист1!$B$2,"Серия","Экспресс","Тип_шкафа","2-х дверный купе","Ширина",1800,"Высота",2400,"Глубина",440,"Наименование шкафа на сайте","Широкий Экспресс 2 2-х дверный (Зеркало)","Признак_ВИ_Шкафа","Новый вариант")</f>
        <v>25740</v>
      </c>
      <c r="N23" s="33"/>
    </row>
    <row r="24" spans="1:14" ht="17.25" customHeight="1" x14ac:dyDescent="0.3">
      <c r="A24" s="584"/>
      <c r="B24" s="530"/>
      <c r="C24" s="586"/>
      <c r="D24" s="531" t="s">
        <v>67</v>
      </c>
      <c r="E24" s="12">
        <v>1200</v>
      </c>
      <c r="F24" s="243">
        <f>GETPIVOTDATA("Значение",Лист1!$B$2,"Серия","Экспресс","Тип_шкафа","2-х дверный купе","Ширина",2200,"Высота",600,"Глубина",1200,"Наименование шкафа на сайте","Экспресс 2 2-х дверный (Абстракция серая)","Признак_ВИ_Шкафа","Основной вариант")</f>
        <v>21880</v>
      </c>
      <c r="G24" s="240">
        <f>GETPIVOTDATA("Значение",Лист1!$B$2,"Серия","Экспресс","Тип_шкафа","2-х дверный купе","Ширина",2400,"Высота",600,"Глубина",1200,"Наименование шкафа на сайте","Экспресс 2 2-х дверный (Абстракция серая)","Признак_ВИ_Шкафа","Основной вариант")</f>
        <v>23830</v>
      </c>
      <c r="H24" s="31">
        <f>GETPIVOTDATA("Значение",Лист1!$B$2,"Серия","Экспресс","Тип_шкафа","2-х дверный купе","Ширина",2200,"Высота",440,"Глубина",1200,"Наименование шкафа на сайте","Экспресс 2 2-х дверный (Абстракция серая)","Признак_ВИ_Шкафа","Основной вариант")</f>
        <v>19840</v>
      </c>
      <c r="I24" s="240">
        <f>GETPIVOTDATA("Значение",Лист1!$B$2,"Серия","Экспресс","Тип_шкафа","2-х дверный купе","Ширина",2400,"Высота",440,"Глубина",1200,"Наименование шкафа на сайте","Экспресс 2 2-х дверный (Абстракция серая)","Признак_ВИ_Шкафа","Основной вариант")</f>
        <v>21470</v>
      </c>
      <c r="J24" s="243">
        <f>GETPIVOTDATA("Значение",Лист1!$B$2,"Серия","Экспресс","Тип_шкафа","2-х дверный купе","Ширина",2200,"Высота",600,"Глубина",1200,"Наименование шкафа на сайте","Экспресс 2 2-х дверный (Абстракция серая)","Признак_ВИ_Шкафа","Новый вариант")</f>
        <v>23140</v>
      </c>
      <c r="K24" s="238">
        <f>GETPIVOTDATA("Значение",Лист1!$B$2,"Серия","Экспресс","Тип_шкафа","2-х дверный купе","Ширина",2400,"Высота",600,"Глубина",1200,"Наименование шкафа на сайте","Экспресс 2 2-х дверный (Абстракция серая)","Признак_ВИ_Шкафа","Новый вариант")</f>
        <v>25190</v>
      </c>
      <c r="L24" s="243">
        <f>GETPIVOTDATA("Значение",Лист1!$B$2,"Серия","Экспресс","Тип_шкафа","2-х дверный купе","Ширина",2200,"Высота",440,"Глубина",1200,"Наименование шкафа на сайте","Экспресс 2 2-х дверный (Абстракция серая)","Признак_ВИ_Шкафа","Новый вариант")</f>
        <v>20860</v>
      </c>
      <c r="M24" s="238">
        <f>GETPIVOTDATA("Значение",Лист1!$B$2,"Серия","Экспресс","Тип_шкафа","2-х дверный купе","Ширина",2400,"Высота",440,"Глубина",1200,"Наименование шкафа на сайте","Экспресс 2 2-х дверный (Абстракция серая)","Признак_ВИ_Шкафа","Новый вариант")</f>
        <v>22570</v>
      </c>
      <c r="N24" s="32"/>
    </row>
    <row r="25" spans="1:14" ht="17.25" customHeight="1" x14ac:dyDescent="0.3">
      <c r="A25" s="584"/>
      <c r="B25" s="530"/>
      <c r="C25" s="586"/>
      <c r="D25" s="531"/>
      <c r="E25" s="12">
        <v>1400</v>
      </c>
      <c r="F25" s="18">
        <f>GETPIVOTDATA("Значение",Лист1!$B$2,"Серия","Экспресс","Тип_шкафа","2-х дверный купе","Ширина",2200,"Высота",600,"Глубина",1400,"Наименование шкафа на сайте","Экспресс 2 2-х дверный (Абстракция серая)","Признак_ВИ_Шкафа","Основной вариант")</f>
        <v>25030</v>
      </c>
      <c r="G25" s="236">
        <f>GETPIVOTDATA("Значение",Лист1!$B$2,"Серия","Экспресс","Тип_шкафа","2-х дверный купе","Ширина",2400,"Высота",600,"Глубина",1400,"Наименование шкафа на сайте","Экспресс 2 2-х дверный (Абстракция серая)","Признак_ВИ_Шкафа","Основной вариант")</f>
        <v>27270</v>
      </c>
      <c r="H25" s="21">
        <f>GETPIVOTDATA("Значение",Лист1!$B$2,"Серия","Экспресс","Тип_шкафа","2-х дверный купе","Ширина",2200,"Высота",440,"Глубина",1400,"Наименование шкафа на сайте","Экспресс 2 2-х дверный (Абстракция серая)","Признак_ВИ_Шкафа","Основной вариант")</f>
        <v>22780</v>
      </c>
      <c r="I25" s="236">
        <f>GETPIVOTDATA("Значение",Лист1!$B$2,"Серия","Экспресс","Тип_шкафа","2-х дверный купе","Ширина",2400,"Высота",440,"Глубина",1400,"Наименование шкафа на сайте","Экспресс 2 2-х дверный (Абстракция серая)","Признак_ВИ_Шкафа","Основной вариант")</f>
        <v>24190</v>
      </c>
      <c r="J25" s="18">
        <f>GETPIVOTDATA("Значение",Лист1!$B$2,"Серия","Экспресс","Тип_шкафа","2-х дверный купе","Ширина",2200,"Высота",600,"Глубина",1400,"Наименование шкафа на сайте","Экспресс 2 2-х дверный (Абстракция серая)","Признак_ВИ_Шкафа","Новый вариант")</f>
        <v>26390</v>
      </c>
      <c r="K25" s="237">
        <f>GETPIVOTDATA("Значение",Лист1!$B$2,"Серия","Экспресс","Тип_шкафа","2-х дверный купе","Ширина",2400,"Высота",600,"Глубина",1400,"Наименование шкафа на сайте","Экспресс 2 2-х дверный (Абстракция серая)","Признак_ВИ_Шкафа","Новый вариант")</f>
        <v>28760</v>
      </c>
      <c r="L25" s="18">
        <f>GETPIVOTDATA("Значение",Лист1!$B$2,"Серия","Экспресс","Тип_шкафа","2-х дверный купе","Ширина",2200,"Высота",440,"Глубина",1400,"Наименование шкафа на сайте","Экспресс 2 2-х дверный (Абстракция серая)","Признак_ВИ_Шкафа","Новый вариант")</f>
        <v>23870</v>
      </c>
      <c r="M25" s="237">
        <f>GETPIVOTDATA("Значение",Лист1!$B$2,"Серия","Экспресс","Тип_шкафа","2-х дверный купе","Ширина",2400,"Высота",440,"Глубина",1400,"Наименование шкафа на сайте","Экспресс 2 2-х дверный (Абстракция серая)","Признак_ВИ_Шкафа","Новый вариант")</f>
        <v>25300</v>
      </c>
      <c r="N25" s="32"/>
    </row>
    <row r="26" spans="1:14" ht="17.25" customHeight="1" thickBot="1" x14ac:dyDescent="0.35">
      <c r="A26" s="603"/>
      <c r="B26" s="385"/>
      <c r="C26" s="587"/>
      <c r="D26" s="604"/>
      <c r="E26" s="10">
        <v>1600</v>
      </c>
      <c r="F26" s="18">
        <f>GETPIVOTDATA("Значение",Лист1!$B$2,"Серия","Экспресс","Тип_шкафа","2-х дверный купе","Ширина",2200,"Высота",600,"Глубина",1600,"Наименование шкафа на сайте","Экспресс 2 2-х дверный (Абстракция серая)","Признак_ВИ_Шкафа","Основной вариант")</f>
        <v>27450</v>
      </c>
      <c r="G26" s="236">
        <f>GETPIVOTDATA("Значение",Лист1!$B$2,"Серия","Экспресс","Тип_шкафа","2-х дверный купе","Ширина",2400,"Высота",600,"Глубина",1600,"Наименование шкафа на сайте","Экспресс 2 2-х дверный (Абстракция серая)","Признак_ВИ_Шкафа","Основной вариант")</f>
        <v>29880</v>
      </c>
      <c r="H26" s="21">
        <f>GETPIVOTDATA("Значение",Лист1!$B$2,"Серия","Экспресс","Тип_шкафа","2-х дверный купе","Ширина",2200,"Высота",440,"Глубина",1600,"Наименование шкафа на сайте","Экспресс 2 2-х дверный (Абстракция серая)","Признак_ВИ_Шкафа","Основной вариант")</f>
        <v>25020</v>
      </c>
      <c r="I26" s="236">
        <f>GETPIVOTDATA("Значение",Лист1!$B$2,"Серия","Экспресс","Тип_шкафа","2-х дверный купе","Ширина",2400,"Высота",440,"Глубина",1600,"Наименование шкафа на сайте","Экспресс 2 2-х дверный (Абстракция серая)","Признак_ВИ_Шкафа","Основной вариант")</f>
        <v>26610</v>
      </c>
      <c r="J26" s="18">
        <f>GETPIVOTDATA("Значение",Лист1!$B$2,"Серия","Экспресс","Тип_шкафа","2-х дверный купе","Ширина",2200,"Высота",600,"Глубина",1600,"Наименование шкафа на сайте","Экспресс 2 2-х дверный (Абстракция серая)","Признак_ВИ_Шкафа","Новый вариант")</f>
        <v>28890</v>
      </c>
      <c r="K26" s="237">
        <f>GETPIVOTDATA("Значение",Лист1!$B$2,"Серия","Экспресс","Тип_шкафа","2-х дверный купе","Ширина",2400,"Высота",600,"Глубина",1600,"Наименование шкафа на сайте","Экспресс 2 2-х дверный (Абстракция серая)","Признак_ВИ_Шкафа","Новый вариант")</f>
        <v>31430</v>
      </c>
      <c r="L26" s="18">
        <f>GETPIVOTDATA("Значение",Лист1!$B$2,"Серия","Экспресс","Тип_шкафа","2-х дверный купе","Ширина",2200,"Высота",440,"Глубина",1600,"Наименование шкафа на сайте","Экспресс 2 2-х дверный (Абстракция серая)","Признак_ВИ_Шкафа","Новый вариант")</f>
        <v>26180</v>
      </c>
      <c r="M26" s="237">
        <f>GETPIVOTDATA("Значение",Лист1!$B$2,"Серия","Экспресс","Тип_шкафа","2-х дверный купе","Ширина",2400,"Высота",440,"Глубина",1600,"Наименование шкафа на сайте","Экспресс 2 2-х дверный (Абстракция серая)","Признак_ВИ_Шкафа","Новый вариант")</f>
        <v>27800</v>
      </c>
      <c r="N26" s="32"/>
    </row>
    <row r="27" spans="1:14" ht="16.5" customHeight="1" x14ac:dyDescent="0.3">
      <c r="A27" s="583" t="s">
        <v>1</v>
      </c>
      <c r="B27" s="366"/>
      <c r="C27" s="606"/>
      <c r="D27" s="610" t="s">
        <v>71</v>
      </c>
      <c r="E27" s="14">
        <v>1800</v>
      </c>
      <c r="F27" s="24">
        <f>GETPIVOTDATA("Значение",Лист1!$B$2,"Серия","Экспресс","Тип_шкафа","3-х дверный купе","Ширина",1800,"Высота",2200,"Глубина",600,"Наименование шкафа на сайте","Экспресс 2 3-х дверный (ЛДСП)","Признак_ВИ_Шкафа","Основной вариант")</f>
        <v>23250</v>
      </c>
      <c r="G27" s="239">
        <f>GETPIVOTDATA("Значение",Лист1!$B$2,"Серия","Экспресс","Тип_шкафа","3-х дверный купе","Ширина",1800,"Высота",2400,"Глубина",600,"Наименование шкафа на сайте","Экспресс 2 3-х дверный (ЛДСП)","Признак_ВИ_Шкафа","Основной вариант")</f>
        <v>25360</v>
      </c>
      <c r="H27" s="24">
        <f>GETPIVOTDATA("Значение",Лист1!$B$2,"Серия","Экспресс","Тип_шкафа","3-х дверный купе","Ширина",1800,"Высота",2200,"Глубина",440,"Наименование шкафа на сайте","Экспресс 2 3-х дверный (ЛДСП)","Признак_ВИ_Шкафа","Основной вариант")</f>
        <v>20380</v>
      </c>
      <c r="I27" s="239">
        <f>GETPIVOTDATA("Значение",Лист1!$B$2,"Серия","Экспресс","Тип_шкафа","3-х дверный купе","Ширина",1800,"Высота",2400,"Глубина",440,"Наименование шкафа на сайте","Экспресс 2 3-х дверный (ЛДСП)","Признак_ВИ_Шкафа","Основной вариант")</f>
        <v>21590</v>
      </c>
      <c r="J27" s="24">
        <f>GETPIVOTDATA("Значение",Лист1!$B$2,"Серия","Экспресс","Тип_шкафа","3-х дверный купе","Ширина",1800,"Высота",2200,"Глубина",600,"Наименование шкафа на сайте","Экспресс 2 3-х дверный (ЛДСП)","Признак_ВИ_Шкафа","Новый вариант")</f>
        <v>26040</v>
      </c>
      <c r="K27" s="239">
        <f>GETPIVOTDATA("Значение",Лист1!$B$2,"Серия","Экспресс","Тип_шкафа","3-х дверный купе","Ширина",1800,"Высота",2400,"Глубина",600,"Наименование шкафа на сайте","Экспресс 2 3-х дверный (ЛДСП)","Признак_ВИ_Шкафа","Новый вариант")</f>
        <v>28410</v>
      </c>
      <c r="L27" s="24">
        <f>GETPIVOTDATA("Значение",Лист1!$B$2,"Серия","Экспресс","Тип_шкафа","3-х дверный купе","Ширина",1800,"Высота",2200,"Глубина",440,"Наименование шкафа на сайте","Экспресс 2 3-х дверный (ЛДСП)","Признак_ВИ_Шкафа","Новый вариант")</f>
        <v>22840</v>
      </c>
      <c r="M27" s="239">
        <f>GETPIVOTDATA("Значение",Лист1!$B$2,"Серия","Экспресс","Тип_шкафа","3-х дверный купе","Ширина",1800,"Высота",2400,"Глубина",440,"Наименование шкафа на сайте","Экспресс 2 3-х дверный (ЛДСП)","Признак_ВИ_Шкафа","Новый вариант")</f>
        <v>24200</v>
      </c>
      <c r="N27" s="32" t="s">
        <v>0</v>
      </c>
    </row>
    <row r="28" spans="1:14" ht="16.5" customHeight="1" x14ac:dyDescent="0.3">
      <c r="A28" s="584"/>
      <c r="B28" s="530"/>
      <c r="C28" s="586"/>
      <c r="D28" s="531"/>
      <c r="E28" s="12">
        <v>2100</v>
      </c>
      <c r="F28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2 3-х дверный (ЛДСП)","Признак_ВИ_Шкафа","Основной вариант")</f>
        <v>26700</v>
      </c>
      <c r="G28" s="236">
        <f>GETPIVOTDATA("Значение",Лист1!$B$2,"Серия","Экспресс","Тип_шкафа","3-х дверный купе","Ширина",2100,"Высота",2400,"Глубина",600,"Наименование шкафа на сайте","Экспресс 2 3-х дверный (ЛДСП)","Признак_ВИ_Шкафа","Основной вариант")</f>
        <v>29410</v>
      </c>
      <c r="H28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2 3-х дверный (ЛДСП)","Признак_ВИ_Шкафа","Основной вариант")</f>
        <v>23830</v>
      </c>
      <c r="I28" s="236">
        <f>GETPIVOTDATA("Значение",Лист1!$B$2,"Серия","Экспресс","Тип_шкафа","3-х дверный купе","Ширина",2100,"Высота",2400,"Глубина",440,"Наименование шкафа на сайте","Экспресс 2 3-х дверный (ЛДСП)","Признак_ВИ_Шкафа","Основной вариант")</f>
        <v>25420</v>
      </c>
      <c r="J28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2 3-х дверный (ЛДСП)","Признак_ВИ_Шкафа","Новый вариант")</f>
        <v>29870</v>
      </c>
      <c r="K28" s="236">
        <f>GETPIVOTDATA("Значение",Лист1!$B$2,"Серия","Экспресс","Тип_шкафа","3-х дверный купе","Ширина",2100,"Высота",2400,"Глубина",600,"Наименование шкафа на сайте","Экспресс 2 3-х дверный (ЛДСП)","Признак_ВИ_Шкафа","Новый вариант")</f>
        <v>32960</v>
      </c>
      <c r="L28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2 3-х дверный (ЛДСП)","Признак_ВИ_Шкафа","Новый вариант")</f>
        <v>26660</v>
      </c>
      <c r="M28" s="236">
        <f>GETPIVOTDATA("Значение",Лист1!$B$2,"Серия","Экспресс","Тип_шкафа","3-х дверный купе","Ширина",2100,"Высота",2400,"Глубина",440,"Наименование шкафа на сайте","Экспресс 2 3-х дверный (ЛДСП)","Признак_ВИ_Шкафа","Новый вариант")</f>
        <v>28490</v>
      </c>
      <c r="N28" s="32"/>
    </row>
    <row r="29" spans="1:14" ht="16.5" customHeight="1" x14ac:dyDescent="0.3">
      <c r="A29" s="584"/>
      <c r="B29" s="530"/>
      <c r="C29" s="586"/>
      <c r="D29" s="531"/>
      <c r="E29" s="12">
        <v>2400</v>
      </c>
      <c r="F29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2 3-х дверный (ЛДСП)","Признак_ВИ_Шкафа","Основной вариант")</f>
        <v>29860</v>
      </c>
      <c r="G29" s="236">
        <f>GETPIVOTDATA("Значение",Лист1!$B$2,"Серия","Экспресс","Тип_шкафа","3-х дверный купе","Ширина",2400,"Высота",2400,"Глубина",600,"Наименование шкафа на сайте","Экспресс 2 3-х дверный (ЛДСП)","Признак_ВИ_Шкафа","Основной вариант")</f>
        <v>32590</v>
      </c>
      <c r="H29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2 3-х дверный (ЛДСП)","Признак_ВИ_Шкафа","Основной вариант")</f>
        <v>26850</v>
      </c>
      <c r="I29" s="236">
        <f>GETPIVOTDATA("Значение",Лист1!$B$2,"Серия","Экспресс","Тип_шкафа","3-х дверный купе","Ширина",2400,"Высота",2400,"Глубина",440,"Наименование шкафа на сайте","Экспресс 2 3-х дверный (ЛДСП)","Признак_ВИ_Шкафа","Основной вариант")</f>
        <v>28460</v>
      </c>
      <c r="J29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2 3-х дверный (ЛДСП)","Признак_ВИ_Шкафа","Новый вариант")</f>
        <v>33480</v>
      </c>
      <c r="K29" s="236">
        <f>GETPIVOTDATA("Значение",Лист1!$B$2,"Серия","Экспресс","Тип_шкафа","3-х дверный купе","Ширина",2400,"Высота",2400,"Глубина",600,"Наименование шкафа на сайте","Экспресс 2 3-х дверный (ЛДСП)","Признак_ВИ_Шкафа","Новый вариант")</f>
        <v>36500</v>
      </c>
      <c r="L29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2 3-х дверный (ЛДСП)","Признак_ВИ_Шкафа","Новый вариант")</f>
        <v>30100</v>
      </c>
      <c r="M29" s="236">
        <f>GETPIVOTDATA("Значение",Лист1!$B$2,"Серия","Экспресс","Тип_шкафа","3-х дверный купе","Ширина",2400,"Высота",2400,"Глубина",440,"Наименование шкафа на сайте","Экспресс 2 3-х дверный (ЛДСП)","Признак_ВИ_Шкафа","Новый вариант")</f>
        <v>31860</v>
      </c>
      <c r="N29" s="32"/>
    </row>
    <row r="30" spans="1:14" ht="16.5" customHeight="1" x14ac:dyDescent="0.3">
      <c r="A30" s="584"/>
      <c r="B30" s="530"/>
      <c r="C30" s="586"/>
      <c r="D30" s="531" t="s">
        <v>70</v>
      </c>
      <c r="E30" s="12">
        <v>1800</v>
      </c>
      <c r="F30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2 3-х дверный (ЛДСП, Зеркало)","Признак_ВИ_Шкафа","Основной вариант")</f>
        <v>24150</v>
      </c>
      <c r="G30" s="236">
        <f>GETPIVOTDATA("Значение",Лист1!$B$2,"Серия","Экспресс","Тип_шкафа","3-х дверный купе","Ширина",1800,"Высота",2400,"Глубина",600,"Наименование шкафа на сайте","Экспресс 2 3-х дверный (ЛДСП, Зеркало)","Признак_ВИ_Шкафа","Основной вариант")</f>
        <v>26410</v>
      </c>
      <c r="H30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2 3-х дверный (ЛДСП, Зеркало)","Признак_ВИ_Шкафа","Основной вариант")</f>
        <v>21280</v>
      </c>
      <c r="I30" s="236">
        <f>GETPIVOTDATA("Значение",Лист1!$B$2,"Серия","Экспресс","Тип_шкафа","3-х дверный купе","Ширина",1800,"Высота",2400,"Глубина",440,"Наименование шкафа на сайте","Экспресс 2 3-х дверный (ЛДСП, Зеркало)","Признак_ВИ_Шкафа","Основной вариант")</f>
        <v>22640</v>
      </c>
      <c r="J30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2 3-х дверный (ЛДСП, Зеркало)","Признак_ВИ_Шкафа","Новый вариант")</f>
        <v>26560</v>
      </c>
      <c r="K30" s="236">
        <f>GETPIVOTDATA("Значение",Лист1!$B$2,"Серия","Экспресс","Тип_шкафа","3-х дверный купе","Ширина",1800,"Высота",2400,"Глубина",600,"Наименование шкафа на сайте","Экспресс 2 3-х дверный (ЛДСП, Зеркало)","Признак_ВИ_Шкафа","Новый вариант")</f>
        <v>29040</v>
      </c>
      <c r="L30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2 3-х дверный (ЛДСП, Зеркало)","Признак_ВИ_Шкафа","Новый вариант")</f>
        <v>23360</v>
      </c>
      <c r="M30" s="236">
        <f>GETPIVOTDATA("Значение",Лист1!$B$2,"Серия","Экспресс","Тип_шкафа","3-х дверный купе","Ширина",1800,"Высота",2400,"Глубина",440,"Наименование шкафа на сайте","Экспресс 2 3-х дверный (ЛДСП, Зеркало)","Признак_ВИ_Шкафа","Новый вариант")</f>
        <v>24830</v>
      </c>
    </row>
    <row r="31" spans="1:14" ht="16.5" customHeight="1" x14ac:dyDescent="0.3">
      <c r="A31" s="584"/>
      <c r="B31" s="530"/>
      <c r="C31" s="586"/>
      <c r="D31" s="531"/>
      <c r="E31" s="12">
        <v>2100</v>
      </c>
      <c r="F31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2 3-х дверный (ЛДСП, Зеркало)","Признак_ВИ_Шкафа","Основной вариант")</f>
        <v>27450</v>
      </c>
      <c r="G31" s="236">
        <f>GETPIVOTDATA("Значение",Лист1!$B$2,"Серия","Экспресс","Тип_шкафа","3-х дверный купе","Ширина",2100,"Высота",2400,"Глубина",600,"Наименование шкафа на сайте","Экспресс 2 3-х дверный (ЛДСП, Зеркало)","Признак_ВИ_Шкафа","Основной вариант")</f>
        <v>30170</v>
      </c>
      <c r="H31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2 3-х дверный (ЛДСП, Зеркало)","Признак_ВИ_Шкафа","Основной вариант")</f>
        <v>24580</v>
      </c>
      <c r="I31" s="236">
        <f>GETPIVOTDATA("Значение",Лист1!$B$2,"Серия","Экспресс","Тип_шкафа","3-х дверный купе","Ширина",2100,"Высота",2400,"Глубина",440,"Наименование шкафа на сайте","Экспресс 2 3-х дверный (ЛДСП, Зеркало)","Признак_ВИ_Шкафа","Основной вариант")</f>
        <v>26180</v>
      </c>
      <c r="J31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2 3-х дверный (ЛДСП, Зеркало)","Признак_ВИ_Шкафа","Новый вариант")</f>
        <v>30140</v>
      </c>
      <c r="K31" s="236">
        <f>GETPIVOTDATA("Значение",Лист1!$B$2,"Серия","Экспресс","Тип_шкафа","3-х дверный купе","Ширина",2100,"Высота",2400,"Глубина",600,"Наименование шкафа на сайте","Экспресс 2 3-х дверный (ЛДСП, Зеркало)","Признак_ВИ_Шкафа","Новый вариант")</f>
        <v>33170</v>
      </c>
      <c r="L31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2 3-х дверный (ЛДСП, Зеркало)","Признак_ВИ_Шкафа","Новый вариант")</f>
        <v>26930</v>
      </c>
      <c r="M31" s="236">
        <f>GETPIVOTDATA("Значение",Лист1!$B$2,"Серия","Экспресс","Тип_шкафа","3-х дверный купе","Ширина",2100,"Высота",2400,"Глубина",440,"Наименование шкафа на сайте","Экспресс 2 3-х дверный (ЛДСП, Зеркало)","Признак_ВИ_Шкафа","Новый вариант")</f>
        <v>28700</v>
      </c>
    </row>
    <row r="32" spans="1:14" ht="16.5" customHeight="1" x14ac:dyDescent="0.3">
      <c r="A32" s="584"/>
      <c r="B32" s="530"/>
      <c r="C32" s="586"/>
      <c r="D32" s="531"/>
      <c r="E32" s="12">
        <v>2400</v>
      </c>
      <c r="F32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2 3-х дверный (ЛДСП, Зеркало)","Признак_ВИ_Шкафа","Основной вариант")</f>
        <v>30770</v>
      </c>
      <c r="G32" s="236">
        <f>GETPIVOTDATA("Значение",Лист1!$B$2,"Серия","Экспресс","Тип_шкафа","3-х дверный купе","Ширина",2400,"Высота",2400,"Глубина",600,"Наименование шкафа на сайте","Экспресс 2 3-х дверный (ЛДСП, Зеркало)","Признак_ВИ_Шкафа","Основной вариант")</f>
        <v>33490</v>
      </c>
      <c r="H32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2 3-х дверный (ЛДСП, Зеркало)","Признак_ВИ_Шкафа","Основной вариант")</f>
        <v>27760</v>
      </c>
      <c r="I32" s="236">
        <f>GETPIVOTDATA("Значение",Лист1!$B$2,"Серия","Экспресс","Тип_шкафа","3-х дверный купе","Ширина",2400,"Высота",2400,"Глубина",440,"Наименование шкафа на сайте","Экспресс 2 3-х дверный (ЛДСП, Зеркало)","Признак_ВИ_Шкафа","Основной вариант")</f>
        <v>29360</v>
      </c>
      <c r="J32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2 3-х дверный (ЛДСП, Зеркало)","Признак_ВИ_Шкафа","Новый вариант")</f>
        <v>33800</v>
      </c>
      <c r="K32" s="236">
        <f>GETPIVOTDATA("Значение",Лист1!$B$2,"Серия","Экспресс","Тип_шкафа","3-х дверный купе","Ширина",2400,"Высота",2400,"Глубина",600,"Наименование шкафа на сайте","Экспресс 2 3-х дверный (ЛДСП, Зеркало)","Признак_ВИ_Шкафа","Новый вариант")</f>
        <v>36770</v>
      </c>
      <c r="L32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2 3-х дверный (ЛДСП, Зеркало)","Признак_ВИ_Шкафа","Новый вариант")</f>
        <v>30420</v>
      </c>
      <c r="M32" s="236">
        <f>GETPIVOTDATA("Значение",Лист1!$B$2,"Серия","Экспресс","Тип_шкафа","3-х дверный купе","Ширина",2400,"Высота",2400,"Глубина",440,"Наименование шкафа на сайте","Экспресс 2 3-х дверный (ЛДСП, Зеркало)","Признак_ВИ_Шкафа","Новый вариант")</f>
        <v>32130</v>
      </c>
    </row>
    <row r="33" spans="1:13" ht="16.5" customHeight="1" x14ac:dyDescent="0.3">
      <c r="A33" s="584"/>
      <c r="B33" s="530"/>
      <c r="C33" s="586"/>
      <c r="D33" s="531" t="s">
        <v>69</v>
      </c>
      <c r="E33" s="12">
        <v>1800</v>
      </c>
      <c r="F33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2 3-х дверный (Зеркало, ЛДСП)","Признак_ВИ_Шкафа","Основной вариант")</f>
        <v>25050</v>
      </c>
      <c r="G33" s="236">
        <f>GETPIVOTDATA("Значение",Лист1!$B$2,"Серия","Экспресс","Тип_шкафа","3-х дверный купе","Ширина",1800,"Высота",2400,"Глубина",600,"Наименование шкафа на сайте","Экспресс 2 3-х дверный (Зеркало, ЛДСП)","Признак_ВИ_Шкафа","Основной вариант")</f>
        <v>27460</v>
      </c>
      <c r="H33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2 3-х дверный (Зеркало, ЛДСП)","Признак_ВИ_Шкафа","Основной вариант")</f>
        <v>22180</v>
      </c>
      <c r="I33" s="236">
        <f>GETPIVOTDATA("Значение",Лист1!$B$2,"Серия","Экспресс","Тип_шкафа","3-х дверный купе","Ширина",1800,"Высота",2400,"Глубина",440,"Наименование шкафа на сайте","Экспресс 2 3-х дверный (Зеркало, ЛДСП)","Признак_ВИ_Шкафа","Основной вариант")</f>
        <v>23690</v>
      </c>
      <c r="J33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2 3-х дверный (Зеркало, ЛДСП)","Признак_ВИ_Шкафа","Новый вариант")</f>
        <v>27080</v>
      </c>
      <c r="K33" s="236">
        <f>GETPIVOTDATA("Значение",Лист1!$B$2,"Серия","Экспресс","Тип_шкафа","3-х дверный купе","Ширина",1800,"Высота",2400,"Глубина",600,"Наименование шкафа на сайте","Экспресс 2 3-х дверный (Зеркало, ЛДСП)","Признак_ВИ_Шкафа","Новый вариант")</f>
        <v>29670</v>
      </c>
      <c r="L33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2 3-х дверный (Зеркало, ЛДСП)","Признак_ВИ_Шкафа","Новый вариант")</f>
        <v>23880</v>
      </c>
      <c r="M33" s="236">
        <f>GETPIVOTDATA("Значение",Лист1!$B$2,"Серия","Экспресс","Тип_шкафа","3-х дверный купе","Ширина",1800,"Высота",2400,"Глубина",440,"Наименование шкафа на сайте","Экспресс 2 3-х дверный (Зеркало, ЛДСП)","Признак_ВИ_Шкафа","Новый вариант")</f>
        <v>25460</v>
      </c>
    </row>
    <row r="34" spans="1:13" ht="16.5" customHeight="1" x14ac:dyDescent="0.3">
      <c r="A34" s="584"/>
      <c r="B34" s="530"/>
      <c r="C34" s="586"/>
      <c r="D34" s="531"/>
      <c r="E34" s="12">
        <v>2100</v>
      </c>
      <c r="F34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2 3-х дверный (Зеркало, ЛДСП)","Признак_ВИ_Шкафа","Основной вариант")</f>
        <v>28200</v>
      </c>
      <c r="G34" s="236">
        <f>GETPIVOTDATA("Значение",Лист1!$B$2,"Серия","Экспресс","Тип_шкафа","3-х дверный купе","Ширина",2100,"Высота",2400,"Глубина",600,"Наименование шкафа на сайте","Экспресс 2 3-х дверный (Зеркало, ЛДСП)","Признак_ВИ_Шкафа","Основной вариант")</f>
        <v>30930</v>
      </c>
      <c r="H34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2 3-х дверный (Зеркало, ЛДСП)","Признак_ВИ_Шкафа","Основной вариант")</f>
        <v>25330</v>
      </c>
      <c r="I34" s="236">
        <f>GETPIVOTDATA("Значение",Лист1!$B$2,"Серия","Экспресс","Тип_шкафа","3-х дверный купе","Ширина",2100,"Высота",2400,"Глубина",440,"Наименование шкафа на сайте","Экспресс 2 3-х дверный (Зеркало, ЛДСП)","Признак_ВИ_Шкафа","Основной вариант")</f>
        <v>26940</v>
      </c>
      <c r="J34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2 3-х дверный (Зеркало, ЛДСП)","Признак_ВИ_Шкафа","Новый вариант")</f>
        <v>30410</v>
      </c>
      <c r="K34" s="236">
        <f>GETPIVOTDATA("Значение",Лист1!$B$2,"Серия","Экспресс","Тип_шкафа","3-х дверный купе","Ширина",2100,"Высота",2400,"Глубина",600,"Наименование шкафа на сайте","Экспресс 2 3-х дверный (Зеркало, ЛДСП)","Признак_ВИ_Шкафа","Новый вариант")</f>
        <v>33380</v>
      </c>
      <c r="L34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2 3-х дверный (Зеркало, ЛДСП)","Признак_ВИ_Шкафа","Новый вариант")</f>
        <v>27200</v>
      </c>
      <c r="M34" s="236">
        <f>GETPIVOTDATA("Значение",Лист1!$B$2,"Серия","Экспресс","Тип_шкафа","3-х дверный купе","Ширина",2100,"Высота",2400,"Глубина",440,"Наименование шкафа на сайте","Экспресс 2 3-х дверный (Зеркало, ЛДСП)","Признак_ВИ_Шкафа","Новый вариант")</f>
        <v>28910</v>
      </c>
    </row>
    <row r="35" spans="1:13" ht="16.5" customHeight="1" x14ac:dyDescent="0.3">
      <c r="A35" s="584"/>
      <c r="B35" s="530"/>
      <c r="C35" s="586"/>
      <c r="D35" s="531"/>
      <c r="E35" s="12">
        <v>2400</v>
      </c>
      <c r="F35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2 3-х дверный (Зеркало, ЛДСП)","Признак_ВИ_Шкафа","Основной вариант")</f>
        <v>31680</v>
      </c>
      <c r="G35" s="236">
        <f>GETPIVOTDATA("Значение",Лист1!$B$2,"Серия","Экспресс","Тип_шкафа","3-х дверный купе","Ширина",2400,"Высота",2400,"Глубина",600,"Наименование шкафа на сайте","Экспресс 2 3-х дверный (Зеркало, ЛДСП)","Признак_ВИ_Шкафа","Основной вариант")</f>
        <v>34390</v>
      </c>
      <c r="H35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2 3-х дверный (Зеркало, ЛДСП)","Признак_ВИ_Шкафа","Основной вариант")</f>
        <v>28670</v>
      </c>
      <c r="I35" s="236">
        <f>GETPIVOTDATA("Значение",Лист1!$B$2,"Серия","Экспресс","Тип_шкафа","3-х дверный купе","Ширина",2400,"Высота",2400,"Глубина",440,"Наименование шкафа на сайте","Экспресс 2 3-х дверный (Зеркало, ЛДСП)","Признак_ВИ_Шкафа","Основной вариант")</f>
        <v>30260</v>
      </c>
      <c r="J35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2 3-х дверный (Зеркало, ЛДСП)","Признак_ВИ_Шкафа","Новый вариант")</f>
        <v>34120</v>
      </c>
      <c r="K35" s="236">
        <f>GETPIVOTDATA("Значение",Лист1!$B$2,"Серия","Экспресс","Тип_шкафа","3-х дверный купе","Ширина",2400,"Высота",2400,"Глубина",600,"Наименование шкафа на сайте","Экспресс 2 3-х дверный (Зеркало, ЛДСП)","Признак_ВИ_Шкафа","Новый вариант")</f>
        <v>37040</v>
      </c>
      <c r="L35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2 3-х дверный (Зеркало, ЛДСП)","Признак_ВИ_Шкафа","Новый вариант")</f>
        <v>30740</v>
      </c>
      <c r="M35" s="236">
        <f>GETPIVOTDATA("Значение",Лист1!$B$2,"Серия","Экспресс","Тип_шкафа","3-х дверный купе","Ширина",2400,"Высота",2400,"Глубина",440,"Наименование шкафа на сайте","Экспресс 2 3-х дверный (Зеркало, ЛДСП)","Признак_ВИ_Шкафа","Новый вариант")</f>
        <v>32400</v>
      </c>
    </row>
    <row r="36" spans="1:13" ht="16.5" customHeight="1" x14ac:dyDescent="0.3">
      <c r="A36" s="584"/>
      <c r="B36" s="530"/>
      <c r="C36" s="586"/>
      <c r="D36" s="531" t="s">
        <v>68</v>
      </c>
      <c r="E36" s="12">
        <v>1800</v>
      </c>
      <c r="F36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2 3-х дверный (Зеркало)","Признак_ВИ_Шкафа","Основной вариант")</f>
        <v>25950</v>
      </c>
      <c r="G36" s="236">
        <f>GETPIVOTDATA("Значение",Лист1!$B$2,"Серия","Экспресс","Тип_шкафа","3-х дверный купе","Ширина",1800,"Высота",2400,"Глубина",600,"Наименование шкафа на сайте","Экспресс 2 3-х дверный (Зеркало)","Признак_ВИ_Шкафа","Основной вариант")</f>
        <v>28510</v>
      </c>
      <c r="H36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2 3-х дверный (Зеркало)","Признак_ВИ_Шкафа","Основной вариант")</f>
        <v>23080</v>
      </c>
      <c r="I36" s="236">
        <f>GETPIVOTDATA("Значение",Лист1!$B$2,"Серия","Экспресс","Тип_шкафа","3-х дверный купе","Ширина",1800,"Высота",2400,"Глубина",440,"Наименование шкафа на сайте","Экспресс 2 3-х дверный (Зеркало)","Признак_ВИ_Шкафа","Основной вариант")</f>
        <v>24740</v>
      </c>
      <c r="J36" s="21">
        <f>GETPIVOTDATA("Значение",Лист1!$B$2,"Серия","Экспресс","Тип_шкафа","3-х дверный купе","Ширина",1800,"Высота",2200,"Глубина",600,"Наименование шкафа на сайте","Экспресс 2 3-х дверный (Зеркало)","Признак_ВИ_Шкафа","Новый вариант")</f>
        <v>27600</v>
      </c>
      <c r="K36" s="236">
        <f>GETPIVOTDATA("Значение",Лист1!$B$2,"Серия","Экспресс","Тип_шкафа","3-х дверный купе","Ширина",1800,"Высота",2400,"Глубина",600,"Наименование шкафа на сайте","Экспресс 2 3-х дверный (Зеркало)","Признак_ВИ_Шкафа","Новый вариант")</f>
        <v>30300</v>
      </c>
      <c r="L36" s="21">
        <f>GETPIVOTDATA("Значение",Лист1!$B$2,"Серия","Экспресс","Тип_шкафа","3-х дверный купе","Ширина",1800,"Высота",2200,"Глубина",440,"Наименование шкафа на сайте","Экспресс 2 3-х дверный (Зеркало)","Признак_ВИ_Шкафа","Новый вариант")</f>
        <v>24400</v>
      </c>
      <c r="M36" s="236">
        <f>GETPIVOTDATA("Значение",Лист1!$B$2,"Серия","Экспресс","Тип_шкафа","3-х дверный купе","Ширина",1800,"Высота",2400,"Глубина",440,"Наименование шкафа на сайте","Экспресс 2 3-х дверный (Зеркало)","Признак_ВИ_Шкафа","Новый вариант")</f>
        <v>26090</v>
      </c>
    </row>
    <row r="37" spans="1:13" ht="16.5" customHeight="1" x14ac:dyDescent="0.3">
      <c r="A37" s="584"/>
      <c r="B37" s="530"/>
      <c r="C37" s="586"/>
      <c r="D37" s="531"/>
      <c r="E37" s="12">
        <v>2100</v>
      </c>
      <c r="F37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2 3-х дверный (Зеркало)","Признак_ВИ_Шкафа","Основной вариант")</f>
        <v>28950</v>
      </c>
      <c r="G37" s="236">
        <f>GETPIVOTDATA("Значение",Лист1!$B$2,"Серия","Экспресс","Тип_шкафа","3-х дверный купе","Ширина",2100,"Высота",2400,"Глубина",600,"Наименование шкафа на сайте","Экспресс 2 3-х дверный (Зеркало)","Признак_ВИ_Шкафа","Основной вариант")</f>
        <v>31690</v>
      </c>
      <c r="H37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2 3-х дверный (Зеркало)","Признак_ВИ_Шкафа","Основной вариант")</f>
        <v>26080</v>
      </c>
      <c r="I37" s="236">
        <f>GETPIVOTDATA("Значение",Лист1!$B$2,"Серия","Экспресс","Тип_шкафа","3-х дверный купе","Ширина",2100,"Высота",2400,"Глубина",440,"Наименование шкафа на сайте","Экспресс 2 3-х дверный (Зеркало)","Признак_ВИ_Шкафа","Основной вариант")</f>
        <v>27700</v>
      </c>
      <c r="J37" s="21">
        <f>GETPIVOTDATA("Значение",Лист1!$B$2,"Серия","Экспресс","Тип_шкафа","3-х дверный купе","Ширина",2100,"Высота",2200,"Глубина",600,"Наименование шкафа на сайте","Экспресс 2 3-х дверный (Зеркало)","Признак_ВИ_Шкафа","Новый вариант")</f>
        <v>30680</v>
      </c>
      <c r="K37" s="236">
        <f>GETPIVOTDATA("Значение",Лист1!$B$2,"Серия","Экспресс","Тип_шкафа","3-х дверный купе","Ширина",2100,"Высота",2400,"Глубина",600,"Наименование шкафа на сайте","Экспресс 2 3-х дверный (Зеркало)","Признак_ВИ_Шкафа","Новый вариант")</f>
        <v>33590</v>
      </c>
      <c r="L37" s="21">
        <f>GETPIVOTDATA("Значение",Лист1!$B$2,"Серия","Экспресс","Тип_шкафа","3-х дверный купе","Ширина",2100,"Высота",2200,"Глубина",440,"Наименование шкафа на сайте","Экспресс 2 3-х дверный (Зеркало)","Признак_ВИ_Шкафа","Новый вариант")</f>
        <v>27470</v>
      </c>
      <c r="M37" s="236">
        <f>GETPIVOTDATA("Значение",Лист1!$B$2,"Серия","Экспресс","Тип_шкафа","3-х дверный купе","Ширина",2100,"Высота",2400,"Глубина",440,"Наименование шкафа на сайте","Экспресс 2 3-х дверный (Зеркало)","Признак_ВИ_Шкафа","Новый вариант")</f>
        <v>29120</v>
      </c>
    </row>
    <row r="38" spans="1:13" ht="16.5" customHeight="1" x14ac:dyDescent="0.3">
      <c r="A38" s="584"/>
      <c r="B38" s="530"/>
      <c r="C38" s="586"/>
      <c r="D38" s="531"/>
      <c r="E38" s="12">
        <v>2400</v>
      </c>
      <c r="F38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2 3-х дверный (Зеркало)","Признак_ВИ_Шкафа","Основной вариант")</f>
        <v>32590</v>
      </c>
      <c r="G38" s="236">
        <f>GETPIVOTDATA("Значение",Лист1!$B$2,"Серия","Экспресс","Тип_шкафа","3-х дверный купе","Ширина",2400,"Высота",2400,"Глубина",600,"Наименование шкафа на сайте","Экспресс 2 3-х дверный (Зеркало)","Признак_ВИ_Шкафа","Основной вариант")</f>
        <v>35290</v>
      </c>
      <c r="H38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2 3-х дверный (Зеркало)","Признак_ВИ_Шкафа","Основной вариант")</f>
        <v>29580</v>
      </c>
      <c r="I38" s="236">
        <f>GETPIVOTDATA("Значение",Лист1!$B$2,"Серия","Экспресс","Тип_шкафа","3-х дверный купе","Ширина",2400,"Высота",2400,"Глубина",440,"Наименование шкафа на сайте","Экспресс 2 3-х дверный (Зеркало)","Признак_ВИ_Шкафа","Основной вариант")</f>
        <v>31160</v>
      </c>
      <c r="J38" s="21">
        <f>GETPIVOTDATA("Значение",Лист1!$B$2,"Серия","Экспресс","Тип_шкафа","3-х дверный купе","Ширина",2400,"Высота",2200,"Глубина",600,"Наименование шкафа на сайте","Экспресс 2 3-х дверный (Зеркало)","Признак_ВИ_Шкафа","Новый вариант")</f>
        <v>34440</v>
      </c>
      <c r="K38" s="236">
        <f>GETPIVOTDATA("Значение",Лист1!$B$2,"Серия","Экспресс","Тип_шкафа","3-х дверный купе","Ширина",2400,"Высота",2400,"Глубина",600,"Наименование шкафа на сайте","Экспресс 2 3-х дверный (Зеркало)","Признак_ВИ_Шкафа","Новый вариант")</f>
        <v>37310</v>
      </c>
      <c r="L38" s="21">
        <f>GETPIVOTDATA("Значение",Лист1!$B$2,"Серия","Экспресс","Тип_шкафа","3-х дверный купе","Ширина",2400,"Высота",2200,"Глубина",440,"Наименование шкафа на сайте","Экспресс 2 3-х дверный (Зеркало)","Признак_ВИ_Шкафа","Новый вариант")</f>
        <v>31060</v>
      </c>
      <c r="M38" s="236">
        <f>GETPIVOTDATA("Значение",Лист1!$B$2,"Серия","Экспресс","Тип_шкафа","3-х дверный купе","Ширина",2400,"Высота",2400,"Глубина",440,"Наименование шкафа на сайте","Экспресс 2 3-х дверный (Зеркало)","Признак_ВИ_Шкафа","Новый вариант")</f>
        <v>32670</v>
      </c>
    </row>
    <row r="39" spans="1:13" ht="16.5" customHeight="1" x14ac:dyDescent="0.3">
      <c r="A39" s="584"/>
      <c r="B39" s="530"/>
      <c r="C39" s="586"/>
      <c r="D39" s="531" t="s">
        <v>67</v>
      </c>
      <c r="E39" s="12">
        <v>1800</v>
      </c>
      <c r="F39" s="21">
        <f>GETPIVOTDATA("Значение",Лист1!$B$2,"Серия","Экспресс","Тип_шкафа","3-х дверный купе","Ширина",2200,"Высота",600,"Глубина",1800,"Наименование шкафа на сайте","Экспресс 2 3-х дверный (Абстракция серая)","Признак_ВИ_Шкафа","Основной вариант")</f>
        <v>30600</v>
      </c>
      <c r="G39" s="236">
        <f>GETPIVOTDATA("Значение",Лист1!$B$2,"Серия","Экспресс","Тип_шкафа","3-х дверный купе","Ширина",2400,"Высота",600,"Глубина",1800,"Наименование шкафа на сайте","Экспресс 2 3-х дверный (Абстракция серая)","Признак_ВИ_Шкафа","Основной вариант")</f>
        <v>33320</v>
      </c>
      <c r="H39" s="21">
        <f>GETPIVOTDATA("Значение",Лист1!$B$2,"Серия","Экспресс","Тип_шкафа","3-х дверный купе","Ширина",2200,"Высота",440,"Глубина",1800,"Наименование шкафа на сайте","Экспресс 2 3-х дверный (Абстракция серая)","Признак_ВИ_Шкафа","Основной вариант")</f>
        <v>27730</v>
      </c>
      <c r="I39" s="236">
        <f>GETPIVOTDATA("Значение",Лист1!$B$2,"Серия","Экспресс","Тип_шкафа","3-х дверный купе","Ширина",2400,"Высота",440,"Глубина",1800,"Наименование шкафа на сайте","Экспресс 2 3-х дверный (Абстракция серая)","Признак_ВИ_Шкафа","Основной вариант")</f>
        <v>29550</v>
      </c>
      <c r="J39" s="21">
        <f>GETPIVOTDATA("Значение",Лист1!$B$2,"Серия","Экспресс","Тип_шкафа","3-х дверный купе","Ширина",2200,"Высота",600,"Глубина",1800,"Наименование шкафа на сайте","Экспресс 2 3-х дверный (Абстракция серая)","Признак_ВИ_Шкафа","Новый вариант")</f>
        <v>32250</v>
      </c>
      <c r="K39" s="236">
        <f>GETPIVOTDATA("Значение",Лист1!$B$2,"Серия","Экспресс","Тип_шкафа","3-х дверный купе","Ширина",2400,"Высота",600,"Глубина",1800,"Наименование шкафа на сайте","Экспресс 2 3-х дверный (Абстракция серая)","Признак_ВИ_Шкафа","Новый вариант")</f>
        <v>35110</v>
      </c>
      <c r="L39" s="21">
        <f>GETPIVOTDATA("Значение",Лист1!$B$2,"Серия","Экспресс","Тип_шкафа","3-х дверный купе","Ширина",2200,"Высота",440,"Глубина",1800,"Наименование шкафа на сайте","Экспресс 2 3-х дверный (Абстракция серая)","Признак_ВИ_Шкафа","Новый вариант")</f>
        <v>29050</v>
      </c>
      <c r="M39" s="236">
        <f>GETPIVOTDATA("Значение",Лист1!$B$2,"Серия","Экспресс","Тип_шкафа","3-х дверный купе","Ширина",2400,"Высота",440,"Глубина",1800,"Наименование шкафа на сайте","Экспресс 2 3-х дверный (Абстракция серая)","Признак_ВИ_Шкафа","Новый вариант")</f>
        <v>30900</v>
      </c>
    </row>
    <row r="40" spans="1:13" ht="16.5" customHeight="1" x14ac:dyDescent="0.3">
      <c r="A40" s="584"/>
      <c r="B40" s="530"/>
      <c r="C40" s="586"/>
      <c r="D40" s="531"/>
      <c r="E40" s="12">
        <v>2100</v>
      </c>
      <c r="F40" s="21">
        <f>GETPIVOTDATA("Значение",Лист1!$B$2,"Серия","Экспресс","Тип_шкафа","3-х дверный купе","Ширина",2200,"Высота",600,"Глубина",2100,"Наименование шкафа на сайте","Экспресс 2 3-х дверный (Абстракция серая)","Признак_ВИ_Шкафа","Основной вариант")</f>
        <v>35430</v>
      </c>
      <c r="G40" s="236">
        <f>GETPIVOTDATA("Значение",Лист1!$B$2,"Серия","Экспресс","Тип_шкафа","3-х дверный купе","Ширина",2400,"Высота",600,"Глубина",2100,"Наименование шкафа на сайте","Экспресс 2 3-х дверный (Абстракция серая)","Признак_ВИ_Шкафа","Основной вариант")</f>
        <v>38730</v>
      </c>
      <c r="H40" s="21">
        <f>GETPIVOTDATA("Значение",Лист1!$B$2,"Серия","Экспресс","Тип_шкафа","3-х дверный купе","Ширина",2200,"Высота",440,"Глубина",2100,"Наименование шкафа на сайте","Экспресс 2 3-х дверный (Абстракция серая)","Признак_ВИ_Шкафа","Основной вариант")</f>
        <v>32560</v>
      </c>
      <c r="I40" s="236">
        <f>GETPIVOTDATA("Значение",Лист1!$B$2,"Серия","Экспресс","Тип_шкафа","3-х дверный купе","Ширина",2400,"Высота",440,"Глубина",2100,"Наименование шкафа на сайте","Экспресс 2 3-х дверный (Абстракция серая)","Признак_ВИ_Шкафа","Основной вариант")</f>
        <v>34740</v>
      </c>
      <c r="J40" s="21">
        <f>GETPIVOTDATA("Значение",Лист1!$B$2,"Серия","Экспресс","Тип_шкафа","3-х дверный купе","Ширина",2200,"Высота",600,"Глубина",2100,"Наименование шкафа на сайте","Экспресс 2 3-х дверный (Абстракция серая)","Признак_ВИ_Шкафа","Новый вариант")</f>
        <v>37160</v>
      </c>
      <c r="K40" s="236">
        <f>GETPIVOTDATA("Значение",Лист1!$B$2,"Серия","Экспресс","Тип_шкафа","3-х дверный купе","Ширина",2400,"Высота",600,"Глубина",2100,"Наименование шкафа на сайте","Экспресс 2 3-х дверный (Абстракция серая)","Признак_ВИ_Шкафа","Новый вариант")</f>
        <v>40630</v>
      </c>
      <c r="L40" s="21">
        <f>GETPIVOTDATA("Значение",Лист1!$B$2,"Серия","Экспресс","Тип_шкафа","3-х дверный купе","Ширина",2200,"Высота",440,"Глубина",2100,"Наименование шкафа на сайте","Экспресс 2 3-х дверный (Абстракция серая)","Признак_ВИ_Шкафа","Новый вариант")</f>
        <v>33950</v>
      </c>
      <c r="M40" s="236">
        <f>GETPIVOTDATA("Значение",Лист1!$B$2,"Серия","Экспресс","Тип_шкафа","3-х дверный купе","Ширина",2400,"Высота",440,"Глубина",2100,"Наименование шкафа на сайте","Экспресс 2 3-х дверный (Абстракция серая)","Признак_ВИ_Шкафа","Новый вариант")</f>
        <v>36160</v>
      </c>
    </row>
    <row r="41" spans="1:13" ht="16.5" customHeight="1" x14ac:dyDescent="0.3">
      <c r="A41" s="585"/>
      <c r="B41" s="361"/>
      <c r="C41" s="605"/>
      <c r="D41" s="534"/>
      <c r="E41" s="74">
        <v>2400</v>
      </c>
      <c r="F41" s="18">
        <f>GETPIVOTDATA("Значение",Лист1!$B$2,"Серия","Экспресс","Тип_шкафа","3-х дверный купе","Ширина",2200,"Высота",600,"Глубина",2400,"Наименование шкафа на сайте","Экспресс 2 3-х дверный (Абстракция серая)","Признак_ВИ_Шкафа","Основной вариант")</f>
        <v>40400</v>
      </c>
      <c r="G41" s="237">
        <f>GETPIVOTDATA("Значение",Лист1!$B$2,"Серия","Экспресс","Тип_шкафа","3-х дверный купе","Ширина",2400,"Высота",600,"Глубина",2400,"Наименование шкафа на сайте","Экспресс 2 3-х дверный (Абстракция серая)","Признак_ВИ_Шкафа","Основной вариант")</f>
        <v>44020</v>
      </c>
      <c r="H41" s="18">
        <f>GETPIVOTDATA("Значение",Лист1!$B$2,"Серия","Экспресс","Тип_шкафа","3-х дверный купе","Ширина",2200,"Высота",440,"Глубина",2400,"Наименование шкафа на сайте","Экспресс 2 3-х дверный (Абстракция серая)","Признак_ВИ_Шкафа","Основной вариант")</f>
        <v>37390</v>
      </c>
      <c r="I41" s="237">
        <f>GETPIVOTDATA("Значение",Лист1!$B$2,"Серия","Экспресс","Тип_шкафа","3-х дверный купе","Ширина",2400,"Высота",440,"Глубина",2400,"Наименование шкафа на сайте","Экспресс 2 3-х дверный (Абстракция серая)","Признак_ВИ_Шкафа","Основной вариант")</f>
        <v>39890</v>
      </c>
      <c r="J41" s="18">
        <f>GETPIVOTDATA("Значение",Лист1!$B$2,"Серия","Экспресс","Тип_шкафа","3-х дверный купе","Ширина",2200,"Высота",600,"Глубина",2400,"Наименование шкафа на сайте","Экспресс 2 3-х дверный (Абстракция серая)","Признак_ВИ_Шкафа","Новый вариант")</f>
        <v>42250</v>
      </c>
      <c r="K41" s="237">
        <f>GETPIVOTDATA("Значение",Лист1!$B$2,"Серия","Экспресс","Тип_шкафа","3-х дверный купе","Ширина",2400,"Высота",600,"Глубина",2400,"Наименование шкафа на сайте","Экспресс 2 3-х дверный (Абстракция серая)","Признак_ВИ_Шкафа","Новый вариант")</f>
        <v>46040</v>
      </c>
      <c r="L41" s="18">
        <f>GETPIVOTDATA("Значение",Лист1!$B$2,"Серия","Экспресс","Тип_шкафа","3-х дверный купе","Ширина",2200,"Высота",440,"Глубина",2400,"Наименование шкафа на сайте","Экспресс 2 3-х дверный (Абстракция серая)","Признак_ВИ_Шкафа","Новый вариант")</f>
        <v>38870</v>
      </c>
      <c r="M41" s="237">
        <f>GETPIVOTDATA("Значение",Лист1!$B$2,"Серия","Экспресс","Тип_шкафа","3-х дверный купе","Ширина",2400,"Высота",440,"Глубина",2400,"Наименование шкафа на сайте","Экспресс 2 3-х дверный (Абстракция серая)","Признак_ВИ_Шкафа","Новый вариант")</f>
        <v>41400</v>
      </c>
    </row>
    <row r="42" spans="1:13" ht="46.95" customHeight="1" x14ac:dyDescent="0.3">
      <c r="A42" s="573"/>
      <c r="B42" s="611"/>
      <c r="C42" s="611"/>
      <c r="D42" s="235" t="s">
        <v>853</v>
      </c>
      <c r="E42" s="234"/>
      <c r="F42" s="170">
        <f>GETPIVOTDATA("Значение",Лист1!$Y$3,"Вариант_исполнения","Белый снег","Ширина","350","Глубина","600","Высота","2200","Признак вставки","без вставки")</f>
        <v>4540</v>
      </c>
      <c r="G42" s="171">
        <f>GETPIVOTDATA("Значение",Лист1!$Y$3,"Вариант_исполнения","Белый снег","Ширина","350","Глубина","600","Высота","2400","Признак вставки","без вставки")</f>
        <v>4650</v>
      </c>
      <c r="H42" s="170">
        <f>GETPIVOTDATA("Значение",Лист1!$Y$3,"Вариант_исполнения","Белый снег","Ширина","350","Глубина","440","Высота","2200","Признак вставки","без вставки")</f>
        <v>4040</v>
      </c>
      <c r="I42" s="171">
        <f>GETPIVOTDATA("Значение",Лист1!$Y$3,"Вариант_исполнения","Белый снег","Ширина","350","Глубина","440","Высота","2400","Признак вставки","без вставки")</f>
        <v>4140</v>
      </c>
      <c r="J42" s="170">
        <f>GETPIVOTDATA("Значение",Лист1!$Y$3,"Вариант_исполнения","Бетон","Ширина","350","Глубина","600","Высота","2200","Признак вставки","без вставки")</f>
        <v>5090</v>
      </c>
      <c r="K42" s="171">
        <f>GETPIVOTDATA("Значение",Лист1!$Y$3,"Вариант_исполнения","Бетон","Ширина","350","Глубина","600","Высота","2400","Признак вставки","без вставки")</f>
        <v>5210</v>
      </c>
      <c r="L42" s="170">
        <f>GETPIVOTDATA("Значение",Лист1!$Y$3,"Вариант_исполнения","Бетон","Ширина","350","Глубина","440","Высота","2200","Признак вставки","без вставки")</f>
        <v>4530</v>
      </c>
      <c r="M42" s="171">
        <f>GETPIVOTDATA("Значение",Лист1!$Y$3,"Вариант_исполнения","Бетон","Ширина","350","Глубина","440","Высота","2400","Признак вставки","без вставки")</f>
        <v>4640</v>
      </c>
    </row>
    <row r="43" spans="1:13" ht="46.95" customHeight="1" x14ac:dyDescent="0.3">
      <c r="A43" s="573"/>
      <c r="B43" s="611"/>
      <c r="C43" s="611"/>
      <c r="D43" s="235" t="s">
        <v>853</v>
      </c>
      <c r="E43" s="234" t="s">
        <v>854</v>
      </c>
      <c r="F43" s="170">
        <f>GETPIVOTDATA("Значение",Лист1!$Y$3,"Вариант_исполнения","Белый снег","Ширина","350","Глубина","600","Высота","2200","Признак вставки","с вставкой")</f>
        <v>5360</v>
      </c>
      <c r="G43" s="171">
        <f>GETPIVOTDATA("Значение",Лист1!$Y$3,"Вариант_исполнения","Белый снег","Ширина","350","Глубина","600","Высота","2400","Признак вставки","с вставкой")</f>
        <v>5640</v>
      </c>
      <c r="H43" s="170">
        <f>GETPIVOTDATA("Значение",Лист1!$Y$3,"Вариант_исполнения","Белый снег","Ширина","350","Глубина","440","Высота","2200","Признак вставки","с вставкой")</f>
        <v>4860</v>
      </c>
      <c r="I43" s="171">
        <f>GETPIVOTDATA("Значение",Лист1!$Y$3,"Вариант_исполнения","Белый снег","Ширина","350","Глубина","440","Высота","2400","Признак вставки","с вставкой")</f>
        <v>5130</v>
      </c>
      <c r="J43" s="170">
        <f>GETPIVOTDATA("Значение",Лист1!$Y$3,"Вариант_исполнения","Бетон","Ширина","350","Глубина","600","Высота","2200","Признак вставки","с вставкой")</f>
        <v>5910</v>
      </c>
      <c r="K43" s="171">
        <f>GETPIVOTDATA("Значение",Лист1!$Y$3,"Вариант_исполнения","Бетон","Ширина","350","Глубина","600","Высота","2400","Признак вставки","с вставкой")</f>
        <v>6200</v>
      </c>
      <c r="L43" s="170">
        <f>GETPIVOTDATA("Значение",Лист1!$Y$3,"Вариант_исполнения","Бетон","Ширина","350","Глубина","440","Высота","2200","Признак вставки","с вставкой")</f>
        <v>5350</v>
      </c>
      <c r="M43" s="171">
        <f>GETPIVOTDATA("Значение",Лист1!$Y$3,"Вариант_исполнения","Бетон","Ширина","350","Глубина","440","Высота","2400","Признак вставки","с вставкой")</f>
        <v>5630</v>
      </c>
    </row>
    <row r="44" spans="1:13" ht="12" customHeight="1" x14ac:dyDescent="0.3">
      <c r="A44" s="573"/>
      <c r="B44" s="586"/>
      <c r="C44" s="608"/>
      <c r="D44" s="355" t="s">
        <v>6</v>
      </c>
      <c r="E44" s="346" t="s">
        <v>65</v>
      </c>
      <c r="F44" s="345">
        <f>GETPIVOTDATA("Значение",Лист1!$K$3,"Вариант_исполнения","Белый снег","Серия","Модуль универсальный","Ширина","500","Глубина","600","Высота","388","Комплектующая","Модуль")</f>
        <v>3430</v>
      </c>
      <c r="G44" s="345"/>
      <c r="H44" s="524">
        <f>GETPIVOTDATA("Значение",Лист1!$K$3,"Вариант_исполнения","Белый снег","Серия","Модуль универсальный","Ширина","600","Глубина","440","Высота","388","Комплектующая","Модуль")</f>
        <v>2780</v>
      </c>
      <c r="I44" s="524"/>
      <c r="J44" s="524">
        <f>GETPIVOTDATA("Значение",Лист1!$K$3,"Вариант_исполнения","Бетон","Серия","Модуль универсальный","Ширина","600","Глубина","600","Высота","388","Комплектующая","Модуль")</f>
        <v>3840</v>
      </c>
      <c r="K44" s="524"/>
      <c r="L44" s="524">
        <f>GETPIVOTDATA("Значение",Лист1!$K$3,"Вариант_исполнения","Бетон","Серия","Модуль универсальный","Ширина","600","Глубина","440","Высота","388","Комплектующая","Модуль")</f>
        <v>3110</v>
      </c>
      <c r="M44" s="524"/>
    </row>
    <row r="45" spans="1:13" ht="12" customHeight="1" x14ac:dyDescent="0.3">
      <c r="A45" s="573"/>
      <c r="B45" s="586"/>
      <c r="C45" s="608"/>
      <c r="D45" s="355"/>
      <c r="E45" s="346"/>
      <c r="F45" s="345"/>
      <c r="G45" s="345"/>
      <c r="H45" s="524"/>
      <c r="I45" s="524"/>
      <c r="J45" s="524"/>
      <c r="K45" s="524"/>
      <c r="L45" s="524"/>
      <c r="M45" s="524"/>
    </row>
    <row r="46" spans="1:13" ht="12" customHeight="1" x14ac:dyDescent="0.3">
      <c r="A46" s="573"/>
      <c r="B46" s="622"/>
      <c r="C46" s="623"/>
      <c r="D46" s="355"/>
      <c r="E46" s="346"/>
      <c r="F46" s="345"/>
      <c r="G46" s="345"/>
      <c r="H46" s="524"/>
      <c r="I46" s="524"/>
      <c r="J46" s="524"/>
      <c r="K46" s="524"/>
      <c r="L46" s="524"/>
      <c r="M46" s="524"/>
    </row>
    <row r="47" spans="1:13" ht="14.4" customHeight="1" x14ac:dyDescent="0.3">
      <c r="A47" s="573"/>
      <c r="B47" s="293"/>
      <c r="C47" s="293"/>
      <c r="D47" s="525" t="s">
        <v>1084</v>
      </c>
      <c r="E47" s="263">
        <v>1200</v>
      </c>
      <c r="F47" s="331">
        <f>GETPIVOTDATA("Значение",Локер1!$J$2,"Номенклатура","Комплект направляющих ""Экспресс"" 1167 ШК1200 Цветной профиль","Вариант_исполнения","Белый профиль","Серия","Экспресс","Ширина","1200","Глубина",,"Высота",,"Комплектующая","Направляющие")</f>
        <v>1170</v>
      </c>
      <c r="G47" s="332"/>
      <c r="H47" s="332"/>
      <c r="I47" s="332"/>
      <c r="J47" s="332"/>
      <c r="K47" s="332"/>
      <c r="L47" s="332"/>
      <c r="M47" s="333"/>
    </row>
    <row r="48" spans="1:13" ht="14.4" customHeight="1" x14ac:dyDescent="0.3">
      <c r="A48" s="573"/>
      <c r="B48" s="293"/>
      <c r="C48" s="293"/>
      <c r="D48" s="525"/>
      <c r="E48" s="263">
        <v>1400</v>
      </c>
      <c r="F48" s="331">
        <f>GETPIVOTDATA("Значение",Локер1!$J$2,"Номенклатура","Комплект направляющих ""Экспресс"" 1367 ШК1400 Цветной профиль","Вариант_исполнения","Белый профиль","Серия","Экспресс","Ширина","1400","Глубина",,"Высота",,"Комплектующая","Направляющие")</f>
        <v>1240</v>
      </c>
      <c r="G48" s="332"/>
      <c r="H48" s="332"/>
      <c r="I48" s="332"/>
      <c r="J48" s="332"/>
      <c r="K48" s="332"/>
      <c r="L48" s="332"/>
      <c r="M48" s="333"/>
    </row>
    <row r="49" spans="1:13" ht="14.4" customHeight="1" x14ac:dyDescent="0.3">
      <c r="A49" s="573"/>
      <c r="B49" s="293"/>
      <c r="C49" s="293"/>
      <c r="D49" s="525"/>
      <c r="E49" s="263">
        <v>1600</v>
      </c>
      <c r="F49" s="331">
        <f>GETPIVOTDATA("Значение",Локер1!$J$2,"Номенклатура","Комплект направляющих ""Экспресс"" 1567 ШК1600 Цветной профиль","Вариант_исполнения","Белый профиль","Серия","Экспресс","Ширина","1600","Глубина",,"Высота",,"Комплектующая","Направляющие")</f>
        <v>1370</v>
      </c>
      <c r="G49" s="332"/>
      <c r="H49" s="332"/>
      <c r="I49" s="332"/>
      <c r="J49" s="332"/>
      <c r="K49" s="332"/>
      <c r="L49" s="332"/>
      <c r="M49" s="333"/>
    </row>
    <row r="50" spans="1:13" ht="14.4" customHeight="1" x14ac:dyDescent="0.3">
      <c r="A50" s="573"/>
      <c r="B50" s="293"/>
      <c r="C50" s="293"/>
      <c r="D50" s="525"/>
      <c r="E50" s="263">
        <v>1800</v>
      </c>
      <c r="F50" s="331">
        <f>GETPIVOTDATA("Значение",Локер1!$J$2,"Номенклатура","Комплект направляющих ""Экспресс"" 1759 ШК1800 Цветной профиль","Вариант_исполнения","Белый профиль","Серия","Экспресс","Ширина","1800","Глубина",,"Высота",,"Комплектующая","Направляющие")</f>
        <v>1500</v>
      </c>
      <c r="G50" s="332"/>
      <c r="H50" s="332"/>
      <c r="I50" s="332"/>
      <c r="J50" s="332"/>
      <c r="K50" s="332"/>
      <c r="L50" s="332"/>
      <c r="M50" s="333"/>
    </row>
    <row r="51" spans="1:13" ht="14.4" customHeight="1" x14ac:dyDescent="0.3">
      <c r="A51" s="573"/>
      <c r="B51" s="293"/>
      <c r="C51" s="293"/>
      <c r="D51" s="525"/>
      <c r="E51" s="263">
        <v>2100</v>
      </c>
      <c r="F51" s="331">
        <f>GETPIVOTDATA("Значение",Локер1!$J$2,"Номенклатура","Комплект направляющих ""Экспресс"" 2059 ШК2100 Цветной профиль","Вариант_исполнения","Белый профиль","Серия","Экспресс","Ширина","2100","Глубина",,"Высота",,"Комплектующая","Направляющие")</f>
        <v>1700</v>
      </c>
      <c r="G51" s="332"/>
      <c r="H51" s="332"/>
      <c r="I51" s="332"/>
      <c r="J51" s="332"/>
      <c r="K51" s="332"/>
      <c r="L51" s="332"/>
      <c r="M51" s="333"/>
    </row>
    <row r="52" spans="1:13" ht="14.4" customHeight="1" x14ac:dyDescent="0.3">
      <c r="A52" s="573"/>
      <c r="B52" s="442"/>
      <c r="C52" s="443"/>
      <c r="D52" s="436"/>
      <c r="E52" s="263">
        <v>2400</v>
      </c>
      <c r="F52" s="331">
        <f>GETPIVOTDATA("Значение",Локер1!$J$2,"Номенклатура","Комплект направляющих ""Экспресс"" 2359 ШК2400 Цветной профиль","Вариант_исполнения","Белый профиль","Серия","Экспресс","Ширина","2400","Глубина",,"Высота",,"Комплектующая","Направляющие")</f>
        <v>1840</v>
      </c>
      <c r="G52" s="332"/>
      <c r="H52" s="332"/>
      <c r="I52" s="332"/>
      <c r="J52" s="332"/>
      <c r="K52" s="332"/>
      <c r="L52" s="332"/>
      <c r="M52" s="333"/>
    </row>
    <row r="53" spans="1:13" ht="45.6" x14ac:dyDescent="0.3">
      <c r="A53" s="573"/>
      <c r="B53" s="350"/>
      <c r="C53" s="350"/>
      <c r="D53" s="235" t="s">
        <v>889</v>
      </c>
      <c r="E53" s="263" t="s">
        <v>989</v>
      </c>
      <c r="F53" s="345">
        <f>GETPIVOTDATA("Значение",Локер1!$J$2,"Номенклатура","Система доводчиков универсальная 1-дверная","Вариант_исполнения","осн.","Серия","Доводчики","Ширина",,"Глубина",,"Высота",,"Комплектующая","Доводчики")</f>
        <v>870</v>
      </c>
      <c r="G53" s="345"/>
      <c r="H53" s="345"/>
      <c r="I53" s="345"/>
      <c r="J53" s="345"/>
      <c r="K53" s="345"/>
      <c r="L53" s="345"/>
      <c r="M53" s="345"/>
    </row>
    <row r="54" spans="1:13" ht="21.75" customHeight="1" x14ac:dyDescent="0.3">
      <c r="A54" s="614" t="s">
        <v>3</v>
      </c>
      <c r="B54" s="249"/>
      <c r="C54" s="250"/>
      <c r="D54" s="168"/>
      <c r="E54" s="168"/>
      <c r="F54" s="615"/>
      <c r="G54" s="616"/>
      <c r="H54" s="617"/>
      <c r="I54" s="618"/>
      <c r="J54" s="574" t="s">
        <v>2</v>
      </c>
      <c r="K54" s="574"/>
      <c r="L54" s="574" t="s">
        <v>1</v>
      </c>
      <c r="M54" s="575"/>
    </row>
    <row r="55" spans="1:13" ht="59.25" customHeight="1" thickBot="1" x14ac:dyDescent="0.35">
      <c r="A55" s="380"/>
      <c r="B55" s="394"/>
      <c r="C55" s="395"/>
      <c r="D55" s="65"/>
      <c r="E55" s="65"/>
      <c r="F55" s="619"/>
      <c r="G55" s="620"/>
      <c r="H55" s="619"/>
      <c r="I55" s="621"/>
      <c r="J55" s="576"/>
      <c r="K55" s="576"/>
      <c r="L55" s="576"/>
      <c r="M55" s="577"/>
    </row>
    <row r="56" spans="1:13" ht="14.4" customHeight="1" x14ac:dyDescent="0.3">
      <c r="B56" s="264"/>
      <c r="C56" s="265"/>
      <c r="D56" s="265"/>
      <c r="E56" s="612" t="s">
        <v>977</v>
      </c>
      <c r="F56" s="612"/>
      <c r="G56" s="612"/>
      <c r="H56" s="265"/>
      <c r="I56" s="265"/>
      <c r="J56" s="265"/>
      <c r="K56" s="265"/>
      <c r="L56" s="265"/>
      <c r="M56" s="267"/>
    </row>
    <row r="57" spans="1:13" ht="14.4" customHeight="1" x14ac:dyDescent="0.3">
      <c r="B57" s="91" t="s">
        <v>978</v>
      </c>
      <c r="C57" s="168"/>
      <c r="D57" s="168"/>
      <c r="E57" s="270"/>
      <c r="F57" s="270"/>
      <c r="G57" s="270"/>
      <c r="H57" s="270"/>
      <c r="I57" s="168"/>
      <c r="J57" s="168"/>
      <c r="K57" s="168"/>
      <c r="L57" s="168"/>
      <c r="M57" s="174"/>
    </row>
    <row r="58" spans="1:13" ht="14.4" customHeight="1" x14ac:dyDescent="0.3">
      <c r="B58" s="91" t="s">
        <v>979</v>
      </c>
      <c r="C58" s="168"/>
      <c r="D58" s="168"/>
      <c r="E58" s="168"/>
      <c r="F58" s="168"/>
      <c r="G58" s="168"/>
      <c r="H58" s="168"/>
      <c r="I58" s="168"/>
      <c r="J58" s="168"/>
      <c r="K58" s="168"/>
      <c r="L58" s="168"/>
      <c r="M58" s="174"/>
    </row>
    <row r="59" spans="1:13" ht="14.4" customHeight="1" x14ac:dyDescent="0.3">
      <c r="B59" s="91" t="s">
        <v>980</v>
      </c>
      <c r="C59" s="168" t="s">
        <v>980</v>
      </c>
      <c r="D59" s="168"/>
      <c r="E59" s="168"/>
      <c r="F59" s="168"/>
      <c r="G59" s="168"/>
      <c r="H59" s="168"/>
      <c r="I59" s="168"/>
      <c r="J59" s="168"/>
      <c r="K59" s="168"/>
      <c r="L59" s="168"/>
      <c r="M59" s="174"/>
    </row>
    <row r="60" spans="1:13" ht="14.4" customHeight="1" thickBot="1" x14ac:dyDescent="0.35">
      <c r="B60" s="268"/>
      <c r="C60" s="65"/>
      <c r="D60" s="65"/>
      <c r="E60" s="269" t="s">
        <v>981</v>
      </c>
      <c r="F60" s="65"/>
      <c r="G60" s="65"/>
      <c r="H60" s="65"/>
      <c r="I60" s="65"/>
      <c r="J60" s="65"/>
      <c r="K60" s="65"/>
      <c r="L60" s="65"/>
      <c r="M60" s="2"/>
    </row>
  </sheetData>
  <mergeCells count="78">
    <mergeCell ref="E56:G56"/>
    <mergeCell ref="L3:L4"/>
    <mergeCell ref="M3:M4"/>
    <mergeCell ref="A5:A6"/>
    <mergeCell ref="B5:C6"/>
    <mergeCell ref="D5:D6"/>
    <mergeCell ref="E5:E6"/>
    <mergeCell ref="A1:A4"/>
    <mergeCell ref="B1:C1"/>
    <mergeCell ref="D1:I1"/>
    <mergeCell ref="J1:K2"/>
    <mergeCell ref="L1:L2"/>
    <mergeCell ref="M1:M2"/>
    <mergeCell ref="C2:E3"/>
    <mergeCell ref="F3:G3"/>
    <mergeCell ref="H3:I3"/>
    <mergeCell ref="J3:K4"/>
    <mergeCell ref="A7:E7"/>
    <mergeCell ref="F6:G6"/>
    <mergeCell ref="H6:I6"/>
    <mergeCell ref="J6:K6"/>
    <mergeCell ref="L6:M6"/>
    <mergeCell ref="F7:I7"/>
    <mergeCell ref="J7:M7"/>
    <mergeCell ref="A8:A10"/>
    <mergeCell ref="B8:C10"/>
    <mergeCell ref="K8:M10"/>
    <mergeCell ref="A11:E11"/>
    <mergeCell ref="A12:A26"/>
    <mergeCell ref="B12:C15"/>
    <mergeCell ref="D12:D15"/>
    <mergeCell ref="B16:C19"/>
    <mergeCell ref="D16:D19"/>
    <mergeCell ref="B20:C23"/>
    <mergeCell ref="D20:D23"/>
    <mergeCell ref="B24:C26"/>
    <mergeCell ref="D24:D26"/>
    <mergeCell ref="A27:A41"/>
    <mergeCell ref="B27:C29"/>
    <mergeCell ref="D27:D29"/>
    <mergeCell ref="B30:C32"/>
    <mergeCell ref="D30:D32"/>
    <mergeCell ref="B33:C35"/>
    <mergeCell ref="D33:D35"/>
    <mergeCell ref="B36:C38"/>
    <mergeCell ref="D36:D38"/>
    <mergeCell ref="B39:C41"/>
    <mergeCell ref="D39:D41"/>
    <mergeCell ref="L44:M46"/>
    <mergeCell ref="A42:A53"/>
    <mergeCell ref="B42:C42"/>
    <mergeCell ref="B43:C43"/>
    <mergeCell ref="B44:C46"/>
    <mergeCell ref="D44:D46"/>
    <mergeCell ref="B53:C53"/>
    <mergeCell ref="F53:M53"/>
    <mergeCell ref="E44:E46"/>
    <mergeCell ref="F44:G46"/>
    <mergeCell ref="H44:I46"/>
    <mergeCell ref="J44:K46"/>
    <mergeCell ref="B52:C52"/>
    <mergeCell ref="D47:D52"/>
    <mergeCell ref="F47:M47"/>
    <mergeCell ref="F48:M48"/>
    <mergeCell ref="F49:M49"/>
    <mergeCell ref="F50:M50"/>
    <mergeCell ref="F51:M51"/>
    <mergeCell ref="F52:M52"/>
    <mergeCell ref="A54:A55"/>
    <mergeCell ref="F54:G54"/>
    <mergeCell ref="H54:I54"/>
    <mergeCell ref="J54:K54"/>
    <mergeCell ref="L54:M54"/>
    <mergeCell ref="B55:C55"/>
    <mergeCell ref="F55:G55"/>
    <mergeCell ref="H55:I55"/>
    <mergeCell ref="J55:K55"/>
    <mergeCell ref="L55:M55"/>
  </mergeCells>
  <pageMargins left="0.25" right="0.25" top="0.75" bottom="0.75" header="0.3" footer="0.3"/>
  <pageSetup paperSize="9" scale="73" orientation="portrait" r:id="rId1"/>
  <rowBreaks count="1" manualBreakCount="1">
    <brk id="23" max="1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F5943-5D07-48B5-ADB8-D7BCC1361765}">
  <sheetPr codeName="Лист11"/>
  <dimension ref="B1:BF3884"/>
  <sheetViews>
    <sheetView topLeftCell="V1" workbookViewId="0">
      <selection activeCell="L2" sqref="L2"/>
    </sheetView>
  </sheetViews>
  <sheetFormatPr defaultRowHeight="14.4" customHeight="1" x14ac:dyDescent="0.3"/>
  <cols>
    <col min="1" max="1" width="4.88671875" customWidth="1"/>
    <col min="2" max="2" width="29.6640625" customWidth="1"/>
    <col min="3" max="3" width="20.33203125" bestFit="1" customWidth="1"/>
    <col min="4" max="4" width="60.5546875" customWidth="1"/>
    <col min="5" max="6" width="9.5546875" bestFit="1" customWidth="1"/>
    <col min="7" max="7" width="10.44140625" bestFit="1" customWidth="1"/>
    <col min="8" max="8" width="22.77734375" bestFit="1" customWidth="1"/>
    <col min="9" max="9" width="15.88671875" bestFit="1" customWidth="1"/>
    <col min="10" max="10" width="14.5546875" customWidth="1"/>
    <col min="11" max="11" width="13.88671875" customWidth="1"/>
    <col min="12" max="12" width="20.88671875" bestFit="1" customWidth="1"/>
    <col min="13" max="15" width="10.44140625" bestFit="1" customWidth="1"/>
    <col min="16" max="16" width="22.21875" bestFit="1" customWidth="1"/>
    <col min="17" max="17" width="6.109375" bestFit="1" customWidth="1"/>
    <col min="18" max="18" width="6" bestFit="1" customWidth="1"/>
    <col min="19" max="23" width="6.33203125" customWidth="1"/>
    <col min="24" max="24" width="22.33203125" bestFit="1" customWidth="1"/>
    <col min="25" max="25" width="17" bestFit="1" customWidth="1"/>
    <col min="26" max="26" width="21" bestFit="1" customWidth="1"/>
    <col min="27" max="27" width="72.88671875" bestFit="1" customWidth="1"/>
    <col min="28" max="28" width="24" bestFit="1" customWidth="1"/>
    <col min="29" max="29" width="18" bestFit="1" customWidth="1"/>
    <col min="30" max="30" width="22.21875" bestFit="1" customWidth="1"/>
    <col min="31" max="31" width="6.109375" bestFit="1" customWidth="1"/>
    <col min="32" max="32" width="11.5546875" bestFit="1" customWidth="1"/>
    <col min="33" max="38" width="22.33203125" bestFit="1" customWidth="1"/>
    <col min="41" max="41" width="41.33203125" bestFit="1" customWidth="1"/>
    <col min="44" max="44" width="10.44140625" bestFit="1" customWidth="1"/>
    <col min="45" max="45" width="22.21875" bestFit="1" customWidth="1"/>
    <col min="46" max="46" width="6.109375" bestFit="1" customWidth="1"/>
    <col min="47" max="52" width="6.44140625" customWidth="1"/>
    <col min="54" max="54" width="18.33203125" bestFit="1" customWidth="1"/>
    <col min="55" max="55" width="39.44140625" bestFit="1" customWidth="1"/>
    <col min="57" max="57" width="10.44140625" bestFit="1" customWidth="1"/>
    <col min="58" max="58" width="24" bestFit="1" customWidth="1"/>
  </cols>
  <sheetData>
    <row r="1" spans="2:58" ht="14.4" customHeight="1" x14ac:dyDescent="0.3">
      <c r="H1" s="112"/>
      <c r="I1" s="112"/>
      <c r="J1" s="112"/>
    </row>
    <row r="2" spans="2:58" ht="14.4" customHeight="1" x14ac:dyDescent="0.3">
      <c r="B2" s="111" t="s">
        <v>134</v>
      </c>
      <c r="H2" s="115" t="s">
        <v>135</v>
      </c>
      <c r="I2" s="114"/>
      <c r="J2" s="112"/>
      <c r="AN2" s="111" t="s">
        <v>134</v>
      </c>
      <c r="AS2" s="111" t="s">
        <v>133</v>
      </c>
      <c r="BB2" s="111" t="s">
        <v>125</v>
      </c>
      <c r="BC2" s="111" t="s">
        <v>133</v>
      </c>
      <c r="BD2" s="111" t="s">
        <v>124</v>
      </c>
      <c r="BE2" s="111" t="s">
        <v>123</v>
      </c>
      <c r="BF2" t="s">
        <v>134</v>
      </c>
    </row>
    <row r="3" spans="2:58" ht="14.4" customHeight="1" x14ac:dyDescent="0.3">
      <c r="B3" s="111" t="s">
        <v>126</v>
      </c>
      <c r="C3" s="111" t="s">
        <v>131</v>
      </c>
      <c r="D3" s="111" t="s">
        <v>130</v>
      </c>
      <c r="E3" s="111" t="s">
        <v>123</v>
      </c>
      <c r="F3" s="111" t="s">
        <v>124</v>
      </c>
      <c r="G3" s="111" t="s">
        <v>132</v>
      </c>
      <c r="H3" s="114" t="s">
        <v>129</v>
      </c>
      <c r="I3" s="114" t="s">
        <v>691</v>
      </c>
      <c r="J3" s="112"/>
      <c r="K3" s="111" t="s">
        <v>134</v>
      </c>
      <c r="P3" s="111" t="s">
        <v>133</v>
      </c>
      <c r="Y3" s="111" t="s">
        <v>134</v>
      </c>
      <c r="AD3" s="111" t="s">
        <v>133</v>
      </c>
      <c r="AN3" s="111" t="s">
        <v>125</v>
      </c>
      <c r="AO3" s="111" t="s">
        <v>696</v>
      </c>
      <c r="AP3" s="111" t="s">
        <v>123</v>
      </c>
      <c r="AQ3" s="111" t="s">
        <v>124</v>
      </c>
      <c r="AR3" s="111" t="s">
        <v>132</v>
      </c>
      <c r="AS3" t="s">
        <v>693</v>
      </c>
      <c r="AT3" t="s">
        <v>91</v>
      </c>
      <c r="BB3" t="s">
        <v>721</v>
      </c>
      <c r="BC3" t="s">
        <v>722</v>
      </c>
      <c r="BD3" t="s">
        <v>723</v>
      </c>
      <c r="BE3" t="s">
        <v>724</v>
      </c>
      <c r="BF3" s="159">
        <v>5080</v>
      </c>
    </row>
    <row r="4" spans="2:58" ht="14.4" customHeight="1" x14ac:dyDescent="0.3">
      <c r="B4" t="s">
        <v>128</v>
      </c>
      <c r="C4" t="s">
        <v>816</v>
      </c>
      <c r="D4" t="s">
        <v>127</v>
      </c>
      <c r="E4">
        <v>800</v>
      </c>
      <c r="F4">
        <v>2120</v>
      </c>
      <c r="G4">
        <v>595</v>
      </c>
      <c r="H4" s="114">
        <v>9720</v>
      </c>
      <c r="I4" s="114"/>
      <c r="J4" s="112"/>
      <c r="K4" s="111" t="s">
        <v>125</v>
      </c>
      <c r="L4" s="111" t="s">
        <v>126</v>
      </c>
      <c r="M4" s="111" t="s">
        <v>124</v>
      </c>
      <c r="N4" s="111" t="s">
        <v>123</v>
      </c>
      <c r="O4" s="111" t="s">
        <v>132</v>
      </c>
      <c r="P4" t="s">
        <v>693</v>
      </c>
      <c r="Q4" t="s">
        <v>91</v>
      </c>
      <c r="R4" t="s">
        <v>77</v>
      </c>
      <c r="Y4" s="111" t="s">
        <v>696</v>
      </c>
      <c r="Z4" s="111" t="s">
        <v>124</v>
      </c>
      <c r="AA4" s="111" t="s">
        <v>123</v>
      </c>
      <c r="AB4" s="111" t="s">
        <v>132</v>
      </c>
      <c r="AC4" s="111" t="s">
        <v>851</v>
      </c>
      <c r="AD4" t="s">
        <v>693</v>
      </c>
      <c r="AE4" t="s">
        <v>91</v>
      </c>
      <c r="AN4" t="s">
        <v>712</v>
      </c>
      <c r="AO4" t="s">
        <v>830</v>
      </c>
      <c r="AP4" t="s">
        <v>716</v>
      </c>
      <c r="AQ4" t="s">
        <v>119</v>
      </c>
      <c r="AR4" t="s">
        <v>831</v>
      </c>
      <c r="AS4" s="159">
        <v>2300</v>
      </c>
      <c r="AT4" s="159">
        <v>2580</v>
      </c>
      <c r="AU4" s="159"/>
      <c r="AV4" s="159"/>
      <c r="AW4" s="159"/>
      <c r="AX4" s="159"/>
      <c r="AY4" s="159"/>
      <c r="AZ4" s="159"/>
      <c r="BE4" t="s">
        <v>725</v>
      </c>
      <c r="BF4" s="159">
        <v>5430</v>
      </c>
    </row>
    <row r="5" spans="2:58" ht="14.4" customHeight="1" x14ac:dyDescent="0.3">
      <c r="E5">
        <v>1000</v>
      </c>
      <c r="F5">
        <v>2120</v>
      </c>
      <c r="G5">
        <v>595</v>
      </c>
      <c r="H5" s="114">
        <v>10970</v>
      </c>
      <c r="I5" s="114"/>
      <c r="J5" s="112"/>
      <c r="K5" t="s">
        <v>116</v>
      </c>
      <c r="L5" t="s">
        <v>117</v>
      </c>
      <c r="M5" t="s">
        <v>115</v>
      </c>
      <c r="N5" t="s">
        <v>119</v>
      </c>
      <c r="O5" t="s">
        <v>120</v>
      </c>
      <c r="P5" s="159">
        <v>2600</v>
      </c>
      <c r="Q5" s="159">
        <v>2920</v>
      </c>
      <c r="R5" s="159">
        <v>2600</v>
      </c>
      <c r="S5" s="159"/>
      <c r="T5" s="159"/>
      <c r="U5" s="159"/>
      <c r="V5" s="159"/>
      <c r="W5" s="159"/>
      <c r="Y5" t="s">
        <v>839</v>
      </c>
      <c r="Z5" t="s">
        <v>700</v>
      </c>
      <c r="AA5" t="s">
        <v>713</v>
      </c>
      <c r="AB5" t="s">
        <v>122</v>
      </c>
      <c r="AC5" t="s">
        <v>849</v>
      </c>
      <c r="AD5" s="159">
        <v>4040</v>
      </c>
      <c r="AE5" s="159">
        <v>4530</v>
      </c>
      <c r="AN5" t="s">
        <v>712</v>
      </c>
      <c r="AO5" t="s">
        <v>832</v>
      </c>
      <c r="AP5" t="s">
        <v>716</v>
      </c>
      <c r="AQ5" t="s">
        <v>715</v>
      </c>
      <c r="AR5" t="s">
        <v>831</v>
      </c>
      <c r="AS5" s="159">
        <v>3840</v>
      </c>
      <c r="AT5" s="159">
        <v>4300</v>
      </c>
      <c r="AU5" s="159"/>
      <c r="AV5" s="159"/>
      <c r="AW5" s="159"/>
      <c r="AX5" s="159"/>
      <c r="AY5" s="159"/>
      <c r="AZ5" s="159"/>
      <c r="BE5" t="s">
        <v>726</v>
      </c>
      <c r="BF5" s="159">
        <v>5680</v>
      </c>
    </row>
    <row r="6" spans="2:58" ht="14.4" customHeight="1" x14ac:dyDescent="0.3">
      <c r="E6">
        <v>1200</v>
      </c>
      <c r="F6">
        <v>2120</v>
      </c>
      <c r="G6">
        <v>595</v>
      </c>
      <c r="H6" s="114">
        <v>11630</v>
      </c>
      <c r="I6" s="114"/>
      <c r="J6" s="112"/>
      <c r="K6" t="s">
        <v>116</v>
      </c>
      <c r="L6" t="s">
        <v>219</v>
      </c>
      <c r="M6" t="s">
        <v>707</v>
      </c>
      <c r="N6" t="s">
        <v>121</v>
      </c>
      <c r="O6" t="s">
        <v>122</v>
      </c>
      <c r="P6" s="159">
        <v>2820</v>
      </c>
      <c r="Q6" s="159"/>
      <c r="R6" s="159">
        <v>2820</v>
      </c>
      <c r="S6" s="159"/>
      <c r="T6" s="159"/>
      <c r="U6" s="159"/>
      <c r="V6" s="159"/>
      <c r="W6" s="159"/>
      <c r="Y6" t="s">
        <v>840</v>
      </c>
      <c r="Z6" t="s">
        <v>700</v>
      </c>
      <c r="AA6" t="s">
        <v>713</v>
      </c>
      <c r="AB6" t="s">
        <v>122</v>
      </c>
      <c r="AC6" t="s">
        <v>850</v>
      </c>
      <c r="AD6" s="159">
        <v>4860</v>
      </c>
      <c r="AE6" s="159">
        <v>5350</v>
      </c>
      <c r="AN6" t="s">
        <v>712</v>
      </c>
      <c r="AO6" t="s">
        <v>833</v>
      </c>
      <c r="AP6" t="s">
        <v>714</v>
      </c>
      <c r="AQ6" t="s">
        <v>713</v>
      </c>
      <c r="AR6" t="s">
        <v>831</v>
      </c>
      <c r="AS6" s="159">
        <v>770</v>
      </c>
      <c r="AT6" s="159">
        <v>870</v>
      </c>
      <c r="AU6" s="159"/>
      <c r="AV6" s="159"/>
      <c r="AW6" s="159"/>
      <c r="AX6" s="159"/>
      <c r="AY6" s="159"/>
      <c r="AZ6" s="159"/>
      <c r="BE6" t="s">
        <v>727</v>
      </c>
      <c r="BF6" s="159">
        <v>6040</v>
      </c>
    </row>
    <row r="7" spans="2:58" ht="14.4" customHeight="1" x14ac:dyDescent="0.3">
      <c r="E7">
        <v>1400</v>
      </c>
      <c r="F7">
        <v>2120</v>
      </c>
      <c r="G7">
        <v>595</v>
      </c>
      <c r="H7" s="114">
        <v>12520</v>
      </c>
      <c r="I7" s="114"/>
      <c r="J7" s="112"/>
      <c r="K7" t="s">
        <v>116</v>
      </c>
      <c r="L7" t="s">
        <v>219</v>
      </c>
      <c r="N7" t="s">
        <v>120</v>
      </c>
      <c r="O7" t="s">
        <v>122</v>
      </c>
      <c r="P7" s="159">
        <v>2820</v>
      </c>
      <c r="Q7" s="159">
        <v>3160</v>
      </c>
      <c r="R7" s="159">
        <v>2820</v>
      </c>
      <c r="S7" s="159"/>
      <c r="T7" s="159"/>
      <c r="U7" s="159"/>
      <c r="V7" s="159"/>
      <c r="W7" s="159"/>
      <c r="Y7" t="s">
        <v>841</v>
      </c>
      <c r="Z7" t="s">
        <v>710</v>
      </c>
      <c r="AA7" t="s">
        <v>713</v>
      </c>
      <c r="AB7" t="s">
        <v>122</v>
      </c>
      <c r="AC7" t="s">
        <v>849</v>
      </c>
      <c r="AD7" s="159">
        <v>4140</v>
      </c>
      <c r="AE7" s="159">
        <v>4640</v>
      </c>
      <c r="AN7" t="s">
        <v>712</v>
      </c>
      <c r="AO7" t="s">
        <v>834</v>
      </c>
      <c r="AP7" t="s">
        <v>714</v>
      </c>
      <c r="AQ7" t="s">
        <v>715</v>
      </c>
      <c r="AR7" t="s">
        <v>831</v>
      </c>
      <c r="AS7" s="159">
        <v>2400</v>
      </c>
      <c r="AT7" s="159">
        <v>2690</v>
      </c>
      <c r="AU7" s="159"/>
      <c r="AV7" s="159"/>
      <c r="AW7" s="159"/>
      <c r="AX7" s="159"/>
      <c r="AY7" s="159"/>
      <c r="AZ7" s="159"/>
      <c r="BD7" t="s">
        <v>728</v>
      </c>
      <c r="BE7" t="s">
        <v>724</v>
      </c>
      <c r="BF7" s="159">
        <v>5680</v>
      </c>
    </row>
    <row r="8" spans="2:58" ht="14.4" customHeight="1" x14ac:dyDescent="0.3">
      <c r="C8" t="s">
        <v>829</v>
      </c>
      <c r="D8" t="s">
        <v>118</v>
      </c>
      <c r="E8">
        <v>1800</v>
      </c>
      <c r="F8">
        <v>2120</v>
      </c>
      <c r="G8">
        <v>595</v>
      </c>
      <c r="H8" s="114">
        <v>14520</v>
      </c>
      <c r="I8" s="114"/>
      <c r="J8" s="112"/>
      <c r="K8" t="s">
        <v>116</v>
      </c>
      <c r="L8" t="s">
        <v>219</v>
      </c>
      <c r="N8" t="s">
        <v>119</v>
      </c>
      <c r="O8" t="s">
        <v>122</v>
      </c>
      <c r="P8" s="159">
        <v>2820</v>
      </c>
      <c r="Q8" s="159">
        <v>3160</v>
      </c>
      <c r="R8" s="159">
        <v>2820</v>
      </c>
      <c r="S8" s="159"/>
      <c r="T8" s="159"/>
      <c r="U8" s="159"/>
      <c r="V8" s="159"/>
      <c r="W8" s="159"/>
      <c r="Y8" t="s">
        <v>842</v>
      </c>
      <c r="Z8" t="s">
        <v>710</v>
      </c>
      <c r="AA8" t="s">
        <v>713</v>
      </c>
      <c r="AB8" t="s">
        <v>122</v>
      </c>
      <c r="AC8" t="s">
        <v>850</v>
      </c>
      <c r="AD8" s="159">
        <v>5130</v>
      </c>
      <c r="AE8" s="159">
        <v>5630</v>
      </c>
      <c r="AN8" t="s">
        <v>85</v>
      </c>
      <c r="AO8" t="s">
        <v>927</v>
      </c>
      <c r="AP8" t="s">
        <v>718</v>
      </c>
      <c r="AQ8" t="s">
        <v>717</v>
      </c>
      <c r="AR8" t="s">
        <v>711</v>
      </c>
      <c r="AS8" s="159">
        <v>1800</v>
      </c>
      <c r="AT8" s="159">
        <v>2010</v>
      </c>
      <c r="AU8" s="159"/>
      <c r="AV8" s="159"/>
      <c r="AW8" s="159"/>
      <c r="AX8" s="159"/>
      <c r="AY8" s="159"/>
      <c r="AZ8" s="159"/>
      <c r="BE8" t="s">
        <v>725</v>
      </c>
      <c r="BF8" s="159">
        <v>5800</v>
      </c>
    </row>
    <row r="9" spans="2:58" ht="14.4" customHeight="1" x14ac:dyDescent="0.3">
      <c r="E9">
        <v>2100</v>
      </c>
      <c r="F9">
        <v>2120</v>
      </c>
      <c r="G9">
        <v>595</v>
      </c>
      <c r="H9" s="114">
        <v>15560</v>
      </c>
      <c r="I9" s="114"/>
      <c r="J9" s="112"/>
      <c r="K9" t="s">
        <v>116</v>
      </c>
      <c r="L9" t="s">
        <v>219</v>
      </c>
      <c r="N9" t="s">
        <v>114</v>
      </c>
      <c r="O9" t="s">
        <v>122</v>
      </c>
      <c r="P9" s="159">
        <v>2820</v>
      </c>
      <c r="Q9" s="159">
        <v>3160</v>
      </c>
      <c r="R9" s="159">
        <v>2820</v>
      </c>
      <c r="S9" s="159"/>
      <c r="T9" s="159"/>
      <c r="U9" s="159"/>
      <c r="V9" s="159"/>
      <c r="W9" s="159"/>
      <c r="Y9" t="s">
        <v>843</v>
      </c>
      <c r="Z9" t="s">
        <v>818</v>
      </c>
      <c r="AA9" t="s">
        <v>713</v>
      </c>
      <c r="AB9" t="s">
        <v>819</v>
      </c>
      <c r="AC9" t="s">
        <v>849</v>
      </c>
      <c r="AD9" s="159">
        <v>4620</v>
      </c>
      <c r="AE9" s="159">
        <v>5170</v>
      </c>
      <c r="AN9" t="s">
        <v>83</v>
      </c>
      <c r="AO9" t="s">
        <v>720</v>
      </c>
      <c r="AP9" t="s">
        <v>719</v>
      </c>
      <c r="AQ9" t="s">
        <v>708</v>
      </c>
      <c r="AR9" t="s">
        <v>709</v>
      </c>
      <c r="AS9" s="159">
        <v>1060</v>
      </c>
      <c r="AT9" s="159">
        <v>1200</v>
      </c>
      <c r="AU9" s="159"/>
      <c r="AV9" s="159"/>
      <c r="AW9" s="159"/>
      <c r="AX9" s="159"/>
      <c r="AY9" s="159"/>
      <c r="AZ9" s="159"/>
      <c r="BE9" t="s">
        <v>726</v>
      </c>
      <c r="BF9" s="159">
        <v>6040</v>
      </c>
    </row>
    <row r="10" spans="2:58" ht="14.4" customHeight="1" x14ac:dyDescent="0.3">
      <c r="B10" t="s">
        <v>136</v>
      </c>
      <c r="C10" t="s">
        <v>816</v>
      </c>
      <c r="D10" t="s">
        <v>137</v>
      </c>
      <c r="E10">
        <v>1200</v>
      </c>
      <c r="F10">
        <v>2300</v>
      </c>
      <c r="G10">
        <v>570</v>
      </c>
      <c r="H10" s="114">
        <v>29880</v>
      </c>
      <c r="I10" s="114">
        <v>31740</v>
      </c>
      <c r="J10" s="113"/>
      <c r="K10" t="s">
        <v>116</v>
      </c>
      <c r="L10" t="s">
        <v>281</v>
      </c>
      <c r="M10" t="s">
        <v>707</v>
      </c>
      <c r="N10" t="s">
        <v>114</v>
      </c>
      <c r="O10" t="s">
        <v>752</v>
      </c>
      <c r="P10" s="159">
        <v>5240</v>
      </c>
      <c r="Q10" s="159">
        <v>5880</v>
      </c>
      <c r="R10" s="159"/>
      <c r="S10" s="159"/>
      <c r="T10" s="159"/>
      <c r="U10" s="159"/>
      <c r="V10" s="159"/>
      <c r="W10" s="159"/>
      <c r="Y10" t="s">
        <v>844</v>
      </c>
      <c r="Z10" t="s">
        <v>818</v>
      </c>
      <c r="AA10" t="s">
        <v>713</v>
      </c>
      <c r="AB10" t="s">
        <v>819</v>
      </c>
      <c r="AC10" t="s">
        <v>850</v>
      </c>
      <c r="AD10" s="159">
        <v>5600</v>
      </c>
      <c r="AE10" s="159">
        <v>6160</v>
      </c>
      <c r="BE10" t="s">
        <v>727</v>
      </c>
      <c r="BF10" s="159">
        <v>6640</v>
      </c>
    </row>
    <row r="11" spans="2:58" ht="14.4" customHeight="1" x14ac:dyDescent="0.3">
      <c r="E11">
        <v>1400</v>
      </c>
      <c r="F11">
        <v>2300</v>
      </c>
      <c r="G11">
        <v>570</v>
      </c>
      <c r="H11" s="114">
        <v>31850</v>
      </c>
      <c r="I11" s="114">
        <v>33820</v>
      </c>
      <c r="J11" s="113"/>
      <c r="K11" t="s">
        <v>116</v>
      </c>
      <c r="L11" t="s">
        <v>281</v>
      </c>
      <c r="N11" t="s">
        <v>753</v>
      </c>
      <c r="O11" t="s">
        <v>752</v>
      </c>
      <c r="P11" s="159">
        <v>5240</v>
      </c>
      <c r="Q11" s="159">
        <v>5880</v>
      </c>
      <c r="R11" s="159"/>
      <c r="S11" s="159"/>
      <c r="T11" s="159"/>
      <c r="U11" s="159"/>
      <c r="V11" s="159"/>
      <c r="W11" s="159"/>
      <c r="Y11" t="s">
        <v>845</v>
      </c>
      <c r="Z11" t="s">
        <v>700</v>
      </c>
      <c r="AA11" t="s">
        <v>713</v>
      </c>
      <c r="AB11" t="s">
        <v>120</v>
      </c>
      <c r="AC11" t="s">
        <v>849</v>
      </c>
      <c r="AD11" s="159">
        <v>4540</v>
      </c>
      <c r="AE11" s="159">
        <v>5090</v>
      </c>
      <c r="BD11" t="s">
        <v>729</v>
      </c>
      <c r="BE11" t="s">
        <v>725</v>
      </c>
      <c r="BF11" s="159">
        <v>6040</v>
      </c>
    </row>
    <row r="12" spans="2:58" ht="14.4" customHeight="1" x14ac:dyDescent="0.3">
      <c r="E12">
        <v>1600</v>
      </c>
      <c r="F12">
        <v>2300</v>
      </c>
      <c r="G12">
        <v>570</v>
      </c>
      <c r="H12" s="114">
        <v>33370</v>
      </c>
      <c r="I12" s="114">
        <v>35480</v>
      </c>
      <c r="J12" s="113"/>
      <c r="K12" t="s">
        <v>116</v>
      </c>
      <c r="L12" t="s">
        <v>281</v>
      </c>
      <c r="N12" t="s">
        <v>754</v>
      </c>
      <c r="O12" t="s">
        <v>752</v>
      </c>
      <c r="P12" s="159">
        <v>5240</v>
      </c>
      <c r="Q12" s="159">
        <v>5880</v>
      </c>
      <c r="R12" s="159"/>
      <c r="S12" s="159"/>
      <c r="T12" s="159"/>
      <c r="U12" s="159"/>
      <c r="V12" s="159"/>
      <c r="W12" s="159"/>
      <c r="Y12" t="s">
        <v>846</v>
      </c>
      <c r="Z12" t="s">
        <v>700</v>
      </c>
      <c r="AA12" t="s">
        <v>713</v>
      </c>
      <c r="AB12" t="s">
        <v>120</v>
      </c>
      <c r="AC12" t="s">
        <v>850</v>
      </c>
      <c r="AD12" s="159">
        <v>5360</v>
      </c>
      <c r="AE12" s="159">
        <v>5910</v>
      </c>
      <c r="BE12" t="s">
        <v>726</v>
      </c>
      <c r="BF12" s="159">
        <v>6390</v>
      </c>
    </row>
    <row r="13" spans="2:58" ht="14.4" customHeight="1" x14ac:dyDescent="0.3">
      <c r="D13" t="s">
        <v>138</v>
      </c>
      <c r="E13">
        <v>1200</v>
      </c>
      <c r="F13">
        <v>2300</v>
      </c>
      <c r="G13">
        <v>570</v>
      </c>
      <c r="H13" s="114">
        <v>28330</v>
      </c>
      <c r="I13" s="114">
        <v>30190</v>
      </c>
      <c r="J13" s="113"/>
      <c r="K13" t="s">
        <v>116</v>
      </c>
      <c r="L13" t="s">
        <v>1090</v>
      </c>
      <c r="M13" t="s">
        <v>115</v>
      </c>
      <c r="N13" t="s">
        <v>121</v>
      </c>
      <c r="O13" t="s">
        <v>122</v>
      </c>
      <c r="P13" s="159">
        <v>2780</v>
      </c>
      <c r="Q13" s="159">
        <v>3110</v>
      </c>
      <c r="R13" s="159">
        <v>2780</v>
      </c>
      <c r="S13" s="159"/>
      <c r="T13" s="159"/>
      <c r="U13" s="159"/>
      <c r="V13" s="159"/>
      <c r="W13" s="159"/>
      <c r="Y13" t="s">
        <v>847</v>
      </c>
      <c r="Z13" t="s">
        <v>710</v>
      </c>
      <c r="AA13" t="s">
        <v>713</v>
      </c>
      <c r="AB13" t="s">
        <v>120</v>
      </c>
      <c r="AC13" t="s">
        <v>849</v>
      </c>
      <c r="AD13" s="159">
        <v>4650</v>
      </c>
      <c r="AE13" s="159">
        <v>5210</v>
      </c>
      <c r="BE13" t="s">
        <v>727</v>
      </c>
      <c r="BF13" s="159">
        <v>7110</v>
      </c>
    </row>
    <row r="14" spans="2:58" ht="14.4" customHeight="1" x14ac:dyDescent="0.3">
      <c r="E14">
        <v>1400</v>
      </c>
      <c r="F14">
        <v>2300</v>
      </c>
      <c r="G14">
        <v>570</v>
      </c>
      <c r="H14" s="114">
        <v>30150</v>
      </c>
      <c r="I14" s="114">
        <v>32120</v>
      </c>
      <c r="J14" s="113"/>
      <c r="K14" t="s">
        <v>116</v>
      </c>
      <c r="L14" t="s">
        <v>1090</v>
      </c>
      <c r="M14" t="s">
        <v>115</v>
      </c>
      <c r="N14" t="s">
        <v>121</v>
      </c>
      <c r="O14" t="s">
        <v>120</v>
      </c>
      <c r="P14" s="159">
        <v>3430</v>
      </c>
      <c r="Q14" s="159">
        <v>3840</v>
      </c>
      <c r="R14" s="159">
        <v>3430</v>
      </c>
      <c r="S14" s="159"/>
      <c r="T14" s="159"/>
      <c r="U14" s="159"/>
      <c r="V14" s="159"/>
      <c r="W14" s="159"/>
      <c r="Y14" t="s">
        <v>848</v>
      </c>
      <c r="Z14" t="s">
        <v>710</v>
      </c>
      <c r="AA14" t="s">
        <v>713</v>
      </c>
      <c r="AB14" t="s">
        <v>120</v>
      </c>
      <c r="AC14" t="s">
        <v>850</v>
      </c>
      <c r="AD14" s="159">
        <v>5640</v>
      </c>
      <c r="AE14" s="159">
        <v>6200</v>
      </c>
      <c r="BC14" t="s">
        <v>730</v>
      </c>
      <c r="BD14" t="s">
        <v>723</v>
      </c>
      <c r="BE14" t="s">
        <v>724</v>
      </c>
      <c r="BF14" s="159">
        <v>4710</v>
      </c>
    </row>
    <row r="15" spans="2:58" ht="14.4" customHeight="1" x14ac:dyDescent="0.3">
      <c r="E15">
        <v>1600</v>
      </c>
      <c r="F15">
        <v>2300</v>
      </c>
      <c r="G15">
        <v>570</v>
      </c>
      <c r="H15" s="114">
        <v>31820</v>
      </c>
      <c r="I15" s="114">
        <v>33930</v>
      </c>
      <c r="J15" s="113"/>
      <c r="K15" t="s">
        <v>116</v>
      </c>
      <c r="L15" t="s">
        <v>1090</v>
      </c>
      <c r="M15" t="s">
        <v>115</v>
      </c>
      <c r="N15" t="s">
        <v>120</v>
      </c>
      <c r="O15" t="s">
        <v>122</v>
      </c>
      <c r="P15" s="159">
        <v>2780</v>
      </c>
      <c r="Q15" s="159">
        <v>3110</v>
      </c>
      <c r="R15" s="159">
        <v>2780</v>
      </c>
      <c r="S15" s="159"/>
      <c r="T15" s="159"/>
      <c r="U15" s="159"/>
      <c r="V15" s="159"/>
      <c r="W15" s="159"/>
      <c r="BE15" t="s">
        <v>725</v>
      </c>
      <c r="BF15" s="159">
        <v>5170</v>
      </c>
    </row>
    <row r="16" spans="2:58" ht="14.4" customHeight="1" x14ac:dyDescent="0.3">
      <c r="D16" t="s">
        <v>139</v>
      </c>
      <c r="E16">
        <v>1200</v>
      </c>
      <c r="F16">
        <v>2300</v>
      </c>
      <c r="G16">
        <v>570</v>
      </c>
      <c r="H16" s="114">
        <v>28330</v>
      </c>
      <c r="I16" s="114">
        <v>30190</v>
      </c>
      <c r="J16" s="113"/>
      <c r="K16" t="s">
        <v>116</v>
      </c>
      <c r="L16" t="s">
        <v>1090</v>
      </c>
      <c r="M16" t="s">
        <v>115</v>
      </c>
      <c r="N16" t="s">
        <v>120</v>
      </c>
      <c r="O16" t="s">
        <v>120</v>
      </c>
      <c r="P16" s="159">
        <v>3430</v>
      </c>
      <c r="Q16" s="159">
        <v>3840</v>
      </c>
      <c r="R16" s="159">
        <v>3430</v>
      </c>
      <c r="S16" s="159"/>
      <c r="T16" s="159"/>
      <c r="U16" s="159"/>
      <c r="V16" s="159"/>
      <c r="W16" s="159"/>
      <c r="BE16" t="s">
        <v>726</v>
      </c>
      <c r="BF16" s="159">
        <v>5500</v>
      </c>
    </row>
    <row r="17" spans="4:58" ht="14.4" customHeight="1" x14ac:dyDescent="0.3">
      <c r="E17">
        <v>1400</v>
      </c>
      <c r="F17">
        <v>2300</v>
      </c>
      <c r="G17">
        <v>570</v>
      </c>
      <c r="H17" s="114">
        <v>30150</v>
      </c>
      <c r="I17" s="114">
        <v>32120</v>
      </c>
      <c r="J17" s="113"/>
      <c r="K17" t="s">
        <v>116</v>
      </c>
      <c r="L17" t="s">
        <v>1090</v>
      </c>
      <c r="M17" t="s">
        <v>115</v>
      </c>
      <c r="N17" t="s">
        <v>119</v>
      </c>
      <c r="O17" t="s">
        <v>122</v>
      </c>
      <c r="P17" s="159">
        <v>2780</v>
      </c>
      <c r="Q17" s="159">
        <v>3110</v>
      </c>
      <c r="R17" s="159">
        <v>2780</v>
      </c>
      <c r="S17" s="159"/>
      <c r="T17" s="159"/>
      <c r="U17" s="159"/>
      <c r="V17" s="159"/>
      <c r="W17" s="159"/>
      <c r="BE17" t="s">
        <v>727</v>
      </c>
      <c r="BF17" s="159">
        <v>5880</v>
      </c>
    </row>
    <row r="18" spans="4:58" ht="14.4" customHeight="1" x14ac:dyDescent="0.3">
      <c r="E18">
        <v>1600</v>
      </c>
      <c r="F18">
        <v>2300</v>
      </c>
      <c r="G18">
        <v>570</v>
      </c>
      <c r="H18" s="114">
        <v>31820</v>
      </c>
      <c r="I18" s="114">
        <v>33930</v>
      </c>
      <c r="J18" s="113"/>
      <c r="K18" t="s">
        <v>116</v>
      </c>
      <c r="L18" t="s">
        <v>1090</v>
      </c>
      <c r="M18" t="s">
        <v>115</v>
      </c>
      <c r="N18" t="s">
        <v>114</v>
      </c>
      <c r="O18" t="s">
        <v>122</v>
      </c>
      <c r="P18" s="159">
        <v>2780</v>
      </c>
      <c r="Q18" s="159">
        <v>3110</v>
      </c>
      <c r="R18" s="159">
        <v>2780</v>
      </c>
      <c r="S18" s="159"/>
      <c r="T18" s="159"/>
      <c r="U18" s="159"/>
      <c r="V18" s="159"/>
      <c r="W18" s="159"/>
      <c r="Y18" s="111" t="s">
        <v>982</v>
      </c>
      <c r="Z18" s="111" t="s">
        <v>991</v>
      </c>
      <c r="AA18" s="111" t="s">
        <v>696</v>
      </c>
      <c r="AB18" t="s">
        <v>134</v>
      </c>
      <c r="BD18" t="s">
        <v>728</v>
      </c>
      <c r="BE18" t="s">
        <v>724</v>
      </c>
      <c r="BF18" s="159">
        <v>5400</v>
      </c>
    </row>
    <row r="19" spans="4:58" ht="14.4" customHeight="1" x14ac:dyDescent="0.3">
      <c r="D19" t="s">
        <v>140</v>
      </c>
      <c r="E19">
        <v>1200</v>
      </c>
      <c r="F19">
        <v>2300</v>
      </c>
      <c r="G19">
        <v>570</v>
      </c>
      <c r="H19" s="114">
        <v>26780</v>
      </c>
      <c r="I19" s="114">
        <v>28640</v>
      </c>
      <c r="J19" s="113"/>
      <c r="K19" t="s">
        <v>116</v>
      </c>
      <c r="L19" t="s">
        <v>1090</v>
      </c>
      <c r="M19" t="s">
        <v>115</v>
      </c>
      <c r="N19" t="s">
        <v>114</v>
      </c>
      <c r="O19" t="s">
        <v>120</v>
      </c>
      <c r="P19" s="159">
        <v>3430</v>
      </c>
      <c r="Q19" s="159">
        <v>3840</v>
      </c>
      <c r="R19" s="159">
        <v>3430</v>
      </c>
      <c r="S19" s="159"/>
      <c r="T19" s="159"/>
      <c r="U19" s="159"/>
      <c r="V19" s="159"/>
      <c r="W19" s="159"/>
      <c r="Y19" s="278">
        <v>630</v>
      </c>
      <c r="Z19" s="278">
        <v>1787</v>
      </c>
      <c r="AA19" s="278" t="s">
        <v>893</v>
      </c>
      <c r="AB19" s="159">
        <v>3150</v>
      </c>
      <c r="BE19" t="s">
        <v>725</v>
      </c>
      <c r="BF19" s="159">
        <v>5500</v>
      </c>
    </row>
    <row r="20" spans="4:58" ht="14.4" customHeight="1" x14ac:dyDescent="0.3">
      <c r="E20">
        <v>1400</v>
      </c>
      <c r="F20">
        <v>2300</v>
      </c>
      <c r="G20">
        <v>570</v>
      </c>
      <c r="H20" s="114">
        <v>28450</v>
      </c>
      <c r="I20" s="114">
        <v>30420</v>
      </c>
      <c r="J20" s="113"/>
      <c r="K20" t="s">
        <v>116</v>
      </c>
      <c r="L20" t="s">
        <v>1090</v>
      </c>
      <c r="M20" t="s">
        <v>115</v>
      </c>
      <c r="N20" t="s">
        <v>754</v>
      </c>
      <c r="O20" t="s">
        <v>120</v>
      </c>
      <c r="P20" s="159">
        <v>3430</v>
      </c>
      <c r="Q20" s="159">
        <v>3840</v>
      </c>
      <c r="R20" s="159">
        <v>3430</v>
      </c>
      <c r="S20" s="159"/>
      <c r="T20" s="159"/>
      <c r="U20" s="159"/>
      <c r="V20" s="159"/>
      <c r="W20" s="159"/>
      <c r="Y20" s="278">
        <v>631</v>
      </c>
      <c r="Z20" s="278">
        <v>1788</v>
      </c>
      <c r="AA20" s="278" t="s">
        <v>894</v>
      </c>
      <c r="AB20" s="159">
        <v>5990</v>
      </c>
      <c r="BE20" t="s">
        <v>726</v>
      </c>
      <c r="BF20" s="159">
        <v>5880</v>
      </c>
    </row>
    <row r="21" spans="4:58" ht="14.4" customHeight="1" x14ac:dyDescent="0.3">
      <c r="E21">
        <v>1600</v>
      </c>
      <c r="F21">
        <v>2300</v>
      </c>
      <c r="G21">
        <v>570</v>
      </c>
      <c r="H21" s="114">
        <v>30270</v>
      </c>
      <c r="I21" s="114">
        <v>32380</v>
      </c>
      <c r="J21" s="113"/>
      <c r="K21" t="s">
        <v>66</v>
      </c>
      <c r="L21" t="s">
        <v>219</v>
      </c>
      <c r="M21" t="s">
        <v>700</v>
      </c>
      <c r="N21" t="s">
        <v>709</v>
      </c>
      <c r="O21" t="s">
        <v>120</v>
      </c>
      <c r="P21" s="159">
        <v>4600</v>
      </c>
      <c r="Q21" s="159">
        <v>5160</v>
      </c>
      <c r="R21" s="159">
        <v>4600</v>
      </c>
      <c r="S21" s="159"/>
      <c r="T21" s="159"/>
      <c r="U21" s="159"/>
      <c r="V21" s="159"/>
      <c r="W21" s="159"/>
      <c r="Y21" s="278">
        <v>695</v>
      </c>
      <c r="Z21" s="278">
        <v>8558</v>
      </c>
      <c r="AA21" s="278" t="s">
        <v>895</v>
      </c>
      <c r="AB21" s="159">
        <v>3050</v>
      </c>
      <c r="BE21" t="s">
        <v>727</v>
      </c>
      <c r="BF21" s="159">
        <v>6460</v>
      </c>
    </row>
    <row r="22" spans="4:58" ht="14.4" customHeight="1" x14ac:dyDescent="0.3">
      <c r="D22" t="s">
        <v>141</v>
      </c>
      <c r="E22">
        <v>1200</v>
      </c>
      <c r="F22">
        <v>2300</v>
      </c>
      <c r="G22">
        <v>570</v>
      </c>
      <c r="H22" s="114">
        <v>25620</v>
      </c>
      <c r="I22" s="114">
        <v>27840</v>
      </c>
      <c r="J22" s="113"/>
      <c r="K22" t="s">
        <v>66</v>
      </c>
      <c r="L22" t="s">
        <v>219</v>
      </c>
      <c r="M22" t="s">
        <v>710</v>
      </c>
      <c r="N22" t="s">
        <v>709</v>
      </c>
      <c r="O22" t="s">
        <v>120</v>
      </c>
      <c r="P22" s="159">
        <v>4750</v>
      </c>
      <c r="Q22" s="159">
        <v>5320</v>
      </c>
      <c r="R22" s="159">
        <v>4750</v>
      </c>
      <c r="S22" s="159"/>
      <c r="T22" s="159"/>
      <c r="U22" s="159"/>
      <c r="V22" s="159"/>
      <c r="W22" s="159"/>
      <c r="Y22" s="278">
        <v>696</v>
      </c>
      <c r="Z22" s="278">
        <v>8624</v>
      </c>
      <c r="AA22" s="278" t="s">
        <v>896</v>
      </c>
      <c r="AB22" s="159">
        <v>3050</v>
      </c>
      <c r="BD22" t="s">
        <v>729</v>
      </c>
      <c r="BE22" t="s">
        <v>725</v>
      </c>
      <c r="BF22" s="159">
        <v>5880</v>
      </c>
    </row>
    <row r="23" spans="4:58" ht="14.4" customHeight="1" x14ac:dyDescent="0.3">
      <c r="E23">
        <v>1400</v>
      </c>
      <c r="F23">
        <v>2300</v>
      </c>
      <c r="G23">
        <v>570</v>
      </c>
      <c r="H23" s="114">
        <v>27310</v>
      </c>
      <c r="I23" s="114">
        <v>29670</v>
      </c>
      <c r="J23" s="113"/>
      <c r="K23" t="s">
        <v>66</v>
      </c>
      <c r="L23" t="s">
        <v>817</v>
      </c>
      <c r="M23" t="s">
        <v>700</v>
      </c>
      <c r="N23" t="s">
        <v>713</v>
      </c>
      <c r="O23" t="s">
        <v>122</v>
      </c>
      <c r="P23" s="159">
        <v>18620</v>
      </c>
      <c r="Q23" s="159">
        <v>20580</v>
      </c>
      <c r="R23" s="159">
        <v>18620</v>
      </c>
      <c r="S23" s="159"/>
      <c r="T23" s="159"/>
      <c r="U23" s="159"/>
      <c r="V23" s="159"/>
      <c r="W23" s="159"/>
      <c r="Y23" s="278">
        <v>1079</v>
      </c>
      <c r="Z23" s="278">
        <v>24787</v>
      </c>
      <c r="AA23" s="278" t="s">
        <v>897</v>
      </c>
      <c r="AB23" s="159">
        <v>3330</v>
      </c>
      <c r="BE23" t="s">
        <v>726</v>
      </c>
      <c r="BF23" s="159">
        <v>6110</v>
      </c>
    </row>
    <row r="24" spans="4:58" ht="14.4" customHeight="1" x14ac:dyDescent="0.3">
      <c r="E24">
        <v>1600</v>
      </c>
      <c r="F24">
        <v>2300</v>
      </c>
      <c r="G24">
        <v>570</v>
      </c>
      <c r="H24" s="114">
        <v>28990</v>
      </c>
      <c r="I24" s="114">
        <v>31530</v>
      </c>
      <c r="J24" s="113"/>
      <c r="K24" t="s">
        <v>66</v>
      </c>
      <c r="L24" t="s">
        <v>817</v>
      </c>
      <c r="M24" t="s">
        <v>700</v>
      </c>
      <c r="N24" t="s">
        <v>713</v>
      </c>
      <c r="O24" t="s">
        <v>120</v>
      </c>
      <c r="P24" s="159">
        <v>20620</v>
      </c>
      <c r="Q24" s="159">
        <v>22820</v>
      </c>
      <c r="R24" s="159">
        <v>20620</v>
      </c>
      <c r="S24" s="159"/>
      <c r="T24" s="159"/>
      <c r="U24" s="159"/>
      <c r="V24" s="159"/>
      <c r="W24" s="159"/>
      <c r="Y24" s="278">
        <v>1080</v>
      </c>
      <c r="Z24" s="278">
        <v>24790</v>
      </c>
      <c r="AA24" s="278" t="s">
        <v>898</v>
      </c>
      <c r="AB24" s="159">
        <v>3520</v>
      </c>
      <c r="BE24" t="s">
        <v>727</v>
      </c>
      <c r="BF24" s="159">
        <v>6930</v>
      </c>
    </row>
    <row r="25" spans="4:58" ht="14.4" customHeight="1" x14ac:dyDescent="0.3">
      <c r="D25" t="s">
        <v>142</v>
      </c>
      <c r="E25">
        <v>1200</v>
      </c>
      <c r="F25">
        <v>2300</v>
      </c>
      <c r="G25">
        <v>570</v>
      </c>
      <c r="H25" s="114">
        <v>24070</v>
      </c>
      <c r="I25" s="114">
        <v>26290</v>
      </c>
      <c r="J25" s="113"/>
      <c r="K25" t="s">
        <v>66</v>
      </c>
      <c r="L25" t="s">
        <v>817</v>
      </c>
      <c r="M25" t="s">
        <v>710</v>
      </c>
      <c r="N25" t="s">
        <v>713</v>
      </c>
      <c r="O25" t="s">
        <v>122</v>
      </c>
      <c r="P25" s="159">
        <v>19530</v>
      </c>
      <c r="Q25" s="159">
        <v>21530</v>
      </c>
      <c r="R25" s="159">
        <v>19530</v>
      </c>
      <c r="S25" s="159"/>
      <c r="T25" s="159"/>
      <c r="U25" s="159"/>
      <c r="V25" s="159"/>
      <c r="W25" s="159"/>
      <c r="Y25" s="278">
        <v>1081</v>
      </c>
      <c r="Z25" s="278">
        <v>24801</v>
      </c>
      <c r="AA25" s="278" t="s">
        <v>899</v>
      </c>
      <c r="AB25" s="159">
        <v>7660</v>
      </c>
      <c r="BC25" t="s">
        <v>731</v>
      </c>
      <c r="BD25" t="s">
        <v>723</v>
      </c>
      <c r="BE25" t="s">
        <v>724</v>
      </c>
      <c r="BF25" s="159">
        <v>4710</v>
      </c>
    </row>
    <row r="26" spans="4:58" ht="14.4" customHeight="1" x14ac:dyDescent="0.3">
      <c r="E26">
        <v>1400</v>
      </c>
      <c r="F26">
        <v>2300</v>
      </c>
      <c r="G26">
        <v>570</v>
      </c>
      <c r="H26" s="114">
        <v>25610</v>
      </c>
      <c r="I26" s="114">
        <v>27970</v>
      </c>
      <c r="J26" s="113"/>
      <c r="K26" t="s">
        <v>66</v>
      </c>
      <c r="L26" t="s">
        <v>817</v>
      </c>
      <c r="M26" t="s">
        <v>710</v>
      </c>
      <c r="N26" t="s">
        <v>713</v>
      </c>
      <c r="O26" t="s">
        <v>120</v>
      </c>
      <c r="P26" s="159">
        <v>21570</v>
      </c>
      <c r="Q26" s="159">
        <v>23810</v>
      </c>
      <c r="R26" s="159">
        <v>21570</v>
      </c>
      <c r="S26" s="159"/>
      <c r="T26" s="159"/>
      <c r="U26" s="159"/>
      <c r="V26" s="159"/>
      <c r="W26" s="159"/>
      <c r="Y26" s="278">
        <v>1766</v>
      </c>
      <c r="Z26" s="278">
        <v>28777</v>
      </c>
      <c r="AA26" s="278" t="s">
        <v>983</v>
      </c>
      <c r="AB26" s="159">
        <v>2140</v>
      </c>
      <c r="BE26" t="s">
        <v>725</v>
      </c>
      <c r="BF26" s="159">
        <v>5170</v>
      </c>
    </row>
    <row r="27" spans="4:58" ht="14.4" customHeight="1" x14ac:dyDescent="0.3">
      <c r="E27">
        <v>1600</v>
      </c>
      <c r="F27">
        <v>2300</v>
      </c>
      <c r="G27">
        <v>570</v>
      </c>
      <c r="H27" s="114">
        <v>27440</v>
      </c>
      <c r="I27" s="114">
        <v>29980</v>
      </c>
      <c r="J27" s="113"/>
      <c r="K27" t="s">
        <v>66</v>
      </c>
      <c r="L27" t="s">
        <v>817</v>
      </c>
      <c r="M27" t="s">
        <v>818</v>
      </c>
      <c r="N27" t="s">
        <v>713</v>
      </c>
      <c r="O27" t="s">
        <v>819</v>
      </c>
      <c r="P27" s="159">
        <v>21420</v>
      </c>
      <c r="Q27" s="159">
        <v>23650</v>
      </c>
      <c r="R27" s="159">
        <v>21420</v>
      </c>
      <c r="S27" s="159"/>
      <c r="T27" s="159"/>
      <c r="U27" s="159"/>
      <c r="V27" s="159"/>
      <c r="W27" s="159"/>
      <c r="Y27" s="278">
        <v>1767</v>
      </c>
      <c r="Z27" s="278">
        <v>28777</v>
      </c>
      <c r="AA27" s="278" t="s">
        <v>983</v>
      </c>
      <c r="AB27" s="159">
        <v>2140</v>
      </c>
      <c r="BE27" t="s">
        <v>726</v>
      </c>
      <c r="BF27" s="159">
        <v>5500</v>
      </c>
    </row>
    <row r="28" spans="4:58" ht="14.4" customHeight="1" x14ac:dyDescent="0.3">
      <c r="D28" t="s">
        <v>143</v>
      </c>
      <c r="E28">
        <v>1200</v>
      </c>
      <c r="F28">
        <v>2300</v>
      </c>
      <c r="G28">
        <v>570</v>
      </c>
      <c r="H28" s="114">
        <v>25620</v>
      </c>
      <c r="I28" s="114">
        <v>27840</v>
      </c>
      <c r="J28" s="113"/>
      <c r="K28" t="s">
        <v>110</v>
      </c>
      <c r="L28" t="s">
        <v>219</v>
      </c>
      <c r="M28" t="s">
        <v>707</v>
      </c>
      <c r="N28" t="s">
        <v>707</v>
      </c>
      <c r="P28" s="159"/>
      <c r="Q28" s="159"/>
      <c r="R28" s="159">
        <v>1450</v>
      </c>
      <c r="S28" s="159"/>
      <c r="T28" s="159"/>
      <c r="U28" s="159"/>
      <c r="V28" s="159"/>
      <c r="W28" s="159"/>
      <c r="Y28" s="278">
        <v>1768</v>
      </c>
      <c r="Z28" s="278">
        <v>28777</v>
      </c>
      <c r="AA28" s="278" t="s">
        <v>983</v>
      </c>
      <c r="AB28" s="159">
        <v>2140</v>
      </c>
      <c r="BE28" t="s">
        <v>727</v>
      </c>
      <c r="BF28" s="159">
        <v>5880</v>
      </c>
    </row>
    <row r="29" spans="4:58" ht="14.4" customHeight="1" x14ac:dyDescent="0.3">
      <c r="E29">
        <v>1400</v>
      </c>
      <c r="F29">
        <v>2300</v>
      </c>
      <c r="G29">
        <v>570</v>
      </c>
      <c r="H29" s="114">
        <v>27310</v>
      </c>
      <c r="I29" s="114">
        <v>29670</v>
      </c>
      <c r="J29" s="113"/>
      <c r="K29" t="s">
        <v>110</v>
      </c>
      <c r="L29" t="s">
        <v>219</v>
      </c>
      <c r="M29" t="s">
        <v>703</v>
      </c>
      <c r="N29" t="s">
        <v>703</v>
      </c>
      <c r="O29" t="s">
        <v>703</v>
      </c>
      <c r="P29" s="159"/>
      <c r="Q29" s="159"/>
      <c r="R29" s="159">
        <v>1450</v>
      </c>
      <c r="S29" s="159"/>
      <c r="T29" s="159"/>
      <c r="U29" s="159"/>
      <c r="V29" s="159"/>
      <c r="W29" s="159"/>
      <c r="Y29" s="278">
        <v>1769</v>
      </c>
      <c r="Z29" s="278">
        <v>28777</v>
      </c>
      <c r="AA29" s="278" t="s">
        <v>983</v>
      </c>
      <c r="AB29" s="159">
        <v>2140</v>
      </c>
      <c r="BD29" t="s">
        <v>728</v>
      </c>
      <c r="BE29" t="s">
        <v>724</v>
      </c>
      <c r="BF29" s="159">
        <v>5400</v>
      </c>
    </row>
    <row r="30" spans="4:58" x14ac:dyDescent="0.3">
      <c r="E30">
        <v>1600</v>
      </c>
      <c r="F30">
        <v>2300</v>
      </c>
      <c r="G30">
        <v>570</v>
      </c>
      <c r="H30" s="114">
        <v>28990</v>
      </c>
      <c r="I30" s="114">
        <v>31530</v>
      </c>
      <c r="J30" s="113"/>
      <c r="K30" t="s">
        <v>110</v>
      </c>
      <c r="L30" t="s">
        <v>281</v>
      </c>
      <c r="M30" t="s">
        <v>707</v>
      </c>
      <c r="N30" t="s">
        <v>114</v>
      </c>
      <c r="O30" t="s">
        <v>708</v>
      </c>
      <c r="P30" s="159">
        <v>1720</v>
      </c>
      <c r="Q30" s="159">
        <v>1920</v>
      </c>
      <c r="R30" s="159"/>
      <c r="S30" s="159"/>
      <c r="T30" s="159"/>
      <c r="U30" s="159"/>
      <c r="V30" s="159"/>
      <c r="W30" s="159"/>
      <c r="Y30" s="278">
        <v>1774</v>
      </c>
      <c r="Z30" s="278">
        <v>28778</v>
      </c>
      <c r="AA30" s="278" t="s">
        <v>984</v>
      </c>
      <c r="AB30" s="159">
        <v>3160</v>
      </c>
      <c r="BE30" t="s">
        <v>725</v>
      </c>
      <c r="BF30" s="159">
        <v>5500</v>
      </c>
    </row>
    <row r="31" spans="4:58" x14ac:dyDescent="0.3">
      <c r="D31" t="s">
        <v>144</v>
      </c>
      <c r="E31">
        <v>1200</v>
      </c>
      <c r="F31">
        <v>2300</v>
      </c>
      <c r="G31">
        <v>570</v>
      </c>
      <c r="H31" s="114">
        <v>21360</v>
      </c>
      <c r="I31" s="114">
        <v>23940</v>
      </c>
      <c r="J31" s="113"/>
      <c r="K31" t="s">
        <v>110</v>
      </c>
      <c r="L31" t="s">
        <v>281</v>
      </c>
      <c r="N31" t="s">
        <v>753</v>
      </c>
      <c r="O31" t="s">
        <v>708</v>
      </c>
      <c r="P31" s="159">
        <v>1720</v>
      </c>
      <c r="Q31" s="159">
        <v>1920</v>
      </c>
      <c r="R31" s="159"/>
      <c r="S31" s="159"/>
      <c r="T31" s="159"/>
      <c r="U31" s="159"/>
      <c r="V31" s="159"/>
      <c r="W31" s="159"/>
      <c r="Y31" s="278">
        <v>1775</v>
      </c>
      <c r="Z31" s="278">
        <v>28778</v>
      </c>
      <c r="AA31" s="278" t="s">
        <v>984</v>
      </c>
      <c r="AB31" s="159">
        <v>3160</v>
      </c>
      <c r="BE31" t="s">
        <v>726</v>
      </c>
      <c r="BF31" s="159">
        <v>5880</v>
      </c>
    </row>
    <row r="32" spans="4:58" x14ac:dyDescent="0.3">
      <c r="E32">
        <v>1400</v>
      </c>
      <c r="F32">
        <v>2300</v>
      </c>
      <c r="G32">
        <v>570</v>
      </c>
      <c r="H32" s="114">
        <v>22770</v>
      </c>
      <c r="I32" s="114">
        <v>25520</v>
      </c>
      <c r="J32" s="113"/>
      <c r="K32" t="s">
        <v>110</v>
      </c>
      <c r="L32" t="s">
        <v>281</v>
      </c>
      <c r="N32" t="s">
        <v>754</v>
      </c>
      <c r="O32" t="s">
        <v>708</v>
      </c>
      <c r="P32" s="159">
        <v>1720</v>
      </c>
      <c r="Q32" s="159">
        <v>1920</v>
      </c>
      <c r="R32" s="159"/>
      <c r="S32" s="159"/>
      <c r="T32" s="159"/>
      <c r="U32" s="159"/>
      <c r="V32" s="159"/>
      <c r="W32" s="159"/>
      <c r="Y32" s="278">
        <v>1776</v>
      </c>
      <c r="Z32" s="278">
        <v>28778</v>
      </c>
      <c r="AA32" s="278" t="s">
        <v>984</v>
      </c>
      <c r="AB32" s="159">
        <v>3160</v>
      </c>
      <c r="BE32" t="s">
        <v>727</v>
      </c>
      <c r="BF32" s="159">
        <v>6460</v>
      </c>
    </row>
    <row r="33" spans="4:58" x14ac:dyDescent="0.3">
      <c r="E33">
        <v>1600</v>
      </c>
      <c r="F33">
        <v>2300</v>
      </c>
      <c r="G33">
        <v>570</v>
      </c>
      <c r="H33" s="114">
        <v>24610</v>
      </c>
      <c r="I33" s="114">
        <v>27580</v>
      </c>
      <c r="J33" s="113"/>
      <c r="Y33" s="278">
        <v>1777</v>
      </c>
      <c r="Z33" s="278">
        <v>28778</v>
      </c>
      <c r="AA33" s="278" t="s">
        <v>984</v>
      </c>
      <c r="AB33" s="159">
        <v>3160</v>
      </c>
      <c r="BD33" t="s">
        <v>729</v>
      </c>
      <c r="BE33" t="s">
        <v>726</v>
      </c>
      <c r="BF33" s="159">
        <v>6110</v>
      </c>
    </row>
    <row r="34" spans="4:58" x14ac:dyDescent="0.3">
      <c r="D34" t="s">
        <v>145</v>
      </c>
      <c r="E34">
        <v>1200</v>
      </c>
      <c r="F34">
        <v>2300</v>
      </c>
      <c r="G34">
        <v>570</v>
      </c>
      <c r="H34" s="114">
        <v>29880</v>
      </c>
      <c r="I34" s="114">
        <v>31740</v>
      </c>
      <c r="J34" s="113"/>
      <c r="Y34" s="278">
        <v>9636</v>
      </c>
      <c r="Z34" s="278">
        <v>28530</v>
      </c>
      <c r="AA34" s="278" t="s">
        <v>889</v>
      </c>
      <c r="AB34" s="159">
        <v>870</v>
      </c>
      <c r="BE34" t="s">
        <v>727</v>
      </c>
      <c r="BF34" s="159">
        <v>6930</v>
      </c>
    </row>
    <row r="35" spans="4:58" x14ac:dyDescent="0.3">
      <c r="E35">
        <v>1400</v>
      </c>
      <c r="F35">
        <v>2300</v>
      </c>
      <c r="G35">
        <v>570</v>
      </c>
      <c r="H35" s="114">
        <v>31850</v>
      </c>
      <c r="I35" s="114">
        <v>33820</v>
      </c>
      <c r="J35" s="113"/>
      <c r="Y35" s="278" t="s">
        <v>871</v>
      </c>
      <c r="AB35" s="159">
        <v>51820</v>
      </c>
      <c r="BC35" t="s">
        <v>732</v>
      </c>
      <c r="BD35" t="s">
        <v>729</v>
      </c>
      <c r="BE35" t="s">
        <v>725</v>
      </c>
      <c r="BF35" s="159">
        <v>5880</v>
      </c>
    </row>
    <row r="36" spans="4:58" x14ac:dyDescent="0.3">
      <c r="E36">
        <v>1600</v>
      </c>
      <c r="F36">
        <v>2300</v>
      </c>
      <c r="G36">
        <v>570</v>
      </c>
      <c r="H36" s="114">
        <v>33370</v>
      </c>
      <c r="I36" s="114">
        <v>35480</v>
      </c>
      <c r="J36" s="113"/>
      <c r="BC36" t="s">
        <v>733</v>
      </c>
      <c r="BD36" t="s">
        <v>723</v>
      </c>
      <c r="BE36" t="s">
        <v>724</v>
      </c>
      <c r="BF36" s="159">
        <v>4710</v>
      </c>
    </row>
    <row r="37" spans="4:58" x14ac:dyDescent="0.3">
      <c r="D37" t="s">
        <v>146</v>
      </c>
      <c r="E37">
        <v>1600</v>
      </c>
      <c r="F37">
        <v>2300</v>
      </c>
      <c r="G37">
        <v>570</v>
      </c>
      <c r="H37" s="114">
        <v>25090</v>
      </c>
      <c r="I37" s="114">
        <v>28120</v>
      </c>
      <c r="J37" s="113"/>
      <c r="BE37" t="s">
        <v>725</v>
      </c>
      <c r="BF37" s="159">
        <v>5170</v>
      </c>
    </row>
    <row r="38" spans="4:58" x14ac:dyDescent="0.3">
      <c r="D38" t="s">
        <v>147</v>
      </c>
      <c r="E38">
        <v>1600</v>
      </c>
      <c r="F38">
        <v>2300</v>
      </c>
      <c r="G38">
        <v>570</v>
      </c>
      <c r="H38" s="114">
        <v>25090</v>
      </c>
      <c r="I38" s="114">
        <v>28120</v>
      </c>
      <c r="J38" s="113"/>
      <c r="BE38" t="s">
        <v>726</v>
      </c>
      <c r="BF38" s="159">
        <v>5500</v>
      </c>
    </row>
    <row r="39" spans="4:58" x14ac:dyDescent="0.3">
      <c r="D39" t="s">
        <v>148</v>
      </c>
      <c r="E39">
        <v>1200</v>
      </c>
      <c r="F39">
        <v>2300</v>
      </c>
      <c r="G39">
        <v>570</v>
      </c>
      <c r="H39" s="114">
        <v>15480</v>
      </c>
      <c r="I39" s="114">
        <v>17340</v>
      </c>
      <c r="J39" s="113"/>
      <c r="BE39" t="s">
        <v>727</v>
      </c>
      <c r="BF39" s="159">
        <v>5880</v>
      </c>
    </row>
    <row r="40" spans="4:58" x14ac:dyDescent="0.3">
      <c r="E40">
        <v>1400</v>
      </c>
      <c r="F40">
        <v>2300</v>
      </c>
      <c r="G40">
        <v>570</v>
      </c>
      <c r="H40" s="114">
        <v>18380</v>
      </c>
      <c r="I40" s="114">
        <v>16410</v>
      </c>
      <c r="J40" s="113"/>
      <c r="BD40" t="s">
        <v>728</v>
      </c>
      <c r="BE40" t="s">
        <v>724</v>
      </c>
      <c r="BF40" s="159">
        <v>5400</v>
      </c>
    </row>
    <row r="41" spans="4:58" x14ac:dyDescent="0.3">
      <c r="E41">
        <v>1600</v>
      </c>
      <c r="F41">
        <v>2300</v>
      </c>
      <c r="G41">
        <v>570</v>
      </c>
      <c r="H41" s="114">
        <v>17530</v>
      </c>
      <c r="I41" s="114">
        <v>19640</v>
      </c>
      <c r="J41" s="113"/>
      <c r="BE41" t="s">
        <v>725</v>
      </c>
      <c r="BF41" s="159">
        <v>5500</v>
      </c>
    </row>
    <row r="42" spans="4:58" x14ac:dyDescent="0.3">
      <c r="D42" t="s">
        <v>149</v>
      </c>
      <c r="E42">
        <v>1200</v>
      </c>
      <c r="F42">
        <v>2300</v>
      </c>
      <c r="G42">
        <v>570</v>
      </c>
      <c r="H42" s="114">
        <v>15480</v>
      </c>
      <c r="I42" s="114">
        <v>17340</v>
      </c>
      <c r="J42" s="113"/>
      <c r="BE42" t="s">
        <v>726</v>
      </c>
      <c r="BF42" s="159">
        <v>5880</v>
      </c>
    </row>
    <row r="43" spans="4:58" x14ac:dyDescent="0.3">
      <c r="E43">
        <v>1400</v>
      </c>
      <c r="F43">
        <v>2300</v>
      </c>
      <c r="G43">
        <v>570</v>
      </c>
      <c r="H43" s="114">
        <v>18380</v>
      </c>
      <c r="I43" s="114">
        <v>16410</v>
      </c>
      <c r="J43" s="113"/>
      <c r="BE43" t="s">
        <v>727</v>
      </c>
      <c r="BF43" s="159">
        <v>6460</v>
      </c>
    </row>
    <row r="44" spans="4:58" x14ac:dyDescent="0.3">
      <c r="E44">
        <v>1600</v>
      </c>
      <c r="F44">
        <v>2300</v>
      </c>
      <c r="G44">
        <v>570</v>
      </c>
      <c r="H44" s="114">
        <v>17530</v>
      </c>
      <c r="I44" s="114">
        <v>19640</v>
      </c>
      <c r="J44" s="113"/>
      <c r="BD44" t="s">
        <v>729</v>
      </c>
      <c r="BE44" t="s">
        <v>725</v>
      </c>
      <c r="BF44" s="159">
        <v>5880</v>
      </c>
    </row>
    <row r="45" spans="4:58" x14ac:dyDescent="0.3">
      <c r="D45" t="s">
        <v>150</v>
      </c>
      <c r="E45">
        <v>1200</v>
      </c>
      <c r="F45">
        <v>2300</v>
      </c>
      <c r="G45">
        <v>570</v>
      </c>
      <c r="H45" s="114">
        <v>15480</v>
      </c>
      <c r="I45" s="114">
        <v>17340</v>
      </c>
      <c r="J45" s="113"/>
      <c r="BE45" t="s">
        <v>726</v>
      </c>
      <c r="BF45" s="159">
        <v>6110</v>
      </c>
    </row>
    <row r="46" spans="4:58" x14ac:dyDescent="0.3">
      <c r="E46">
        <v>1400</v>
      </c>
      <c r="F46">
        <v>2300</v>
      </c>
      <c r="G46">
        <v>570</v>
      </c>
      <c r="H46" s="114">
        <v>18380</v>
      </c>
      <c r="I46" s="114">
        <v>16410</v>
      </c>
      <c r="J46" s="113"/>
      <c r="BE46" t="s">
        <v>727</v>
      </c>
      <c r="BF46" s="159">
        <v>6930</v>
      </c>
    </row>
    <row r="47" spans="4:58" x14ac:dyDescent="0.3">
      <c r="E47">
        <v>1600</v>
      </c>
      <c r="F47">
        <v>2300</v>
      </c>
      <c r="G47">
        <v>570</v>
      </c>
      <c r="H47" s="114">
        <v>17530</v>
      </c>
      <c r="I47" s="114">
        <v>19640</v>
      </c>
      <c r="J47" s="113"/>
      <c r="BC47" t="s">
        <v>734</v>
      </c>
      <c r="BD47" t="s">
        <v>723</v>
      </c>
      <c r="BE47" t="s">
        <v>724</v>
      </c>
      <c r="BF47" s="159">
        <v>5080</v>
      </c>
    </row>
    <row r="48" spans="4:58" x14ac:dyDescent="0.3">
      <c r="D48" t="s">
        <v>151</v>
      </c>
      <c r="E48">
        <v>1200</v>
      </c>
      <c r="F48">
        <v>2300</v>
      </c>
      <c r="G48">
        <v>570</v>
      </c>
      <c r="H48" s="114">
        <v>15480</v>
      </c>
      <c r="I48" s="114">
        <v>17340</v>
      </c>
      <c r="J48" s="113"/>
      <c r="BE48" t="s">
        <v>725</v>
      </c>
      <c r="BF48" s="159">
        <v>5430</v>
      </c>
    </row>
    <row r="49" spans="4:58" x14ac:dyDescent="0.3">
      <c r="E49">
        <v>1400</v>
      </c>
      <c r="F49">
        <v>2300</v>
      </c>
      <c r="G49">
        <v>570</v>
      </c>
      <c r="H49" s="114">
        <v>18380</v>
      </c>
      <c r="I49" s="114">
        <v>16410</v>
      </c>
      <c r="J49" s="113"/>
      <c r="BE49" t="s">
        <v>726</v>
      </c>
      <c r="BF49" s="159">
        <v>5680</v>
      </c>
    </row>
    <row r="50" spans="4:58" x14ac:dyDescent="0.3">
      <c r="E50">
        <v>1600</v>
      </c>
      <c r="F50">
        <v>2300</v>
      </c>
      <c r="G50">
        <v>570</v>
      </c>
      <c r="H50" s="114">
        <v>17530</v>
      </c>
      <c r="I50" s="114">
        <v>19640</v>
      </c>
      <c r="J50" s="113"/>
      <c r="BE50" t="s">
        <v>727</v>
      </c>
      <c r="BF50" s="159">
        <v>6040</v>
      </c>
    </row>
    <row r="51" spans="4:58" x14ac:dyDescent="0.3">
      <c r="D51" t="s">
        <v>152</v>
      </c>
      <c r="E51">
        <v>1200</v>
      </c>
      <c r="F51">
        <v>2300</v>
      </c>
      <c r="G51">
        <v>570</v>
      </c>
      <c r="H51" s="114">
        <v>15480</v>
      </c>
      <c r="I51" s="114">
        <v>17340</v>
      </c>
      <c r="J51" s="113"/>
      <c r="BD51" t="s">
        <v>728</v>
      </c>
      <c r="BE51" t="s">
        <v>724</v>
      </c>
      <c r="BF51" s="159">
        <v>5680</v>
      </c>
    </row>
    <row r="52" spans="4:58" x14ac:dyDescent="0.3">
      <c r="E52">
        <v>1400</v>
      </c>
      <c r="F52">
        <v>2300</v>
      </c>
      <c r="G52">
        <v>570</v>
      </c>
      <c r="H52" s="114">
        <v>18380</v>
      </c>
      <c r="I52" s="114">
        <v>16410</v>
      </c>
      <c r="J52" s="113"/>
      <c r="BE52" t="s">
        <v>725</v>
      </c>
      <c r="BF52" s="159">
        <v>5800</v>
      </c>
    </row>
    <row r="53" spans="4:58" x14ac:dyDescent="0.3">
      <c r="E53">
        <v>1600</v>
      </c>
      <c r="F53">
        <v>2300</v>
      </c>
      <c r="G53">
        <v>570</v>
      </c>
      <c r="H53" s="114">
        <v>17530</v>
      </c>
      <c r="I53" s="114">
        <v>19640</v>
      </c>
      <c r="J53" s="113"/>
      <c r="BE53" t="s">
        <v>726</v>
      </c>
      <c r="BF53" s="159">
        <v>6040</v>
      </c>
    </row>
    <row r="54" spans="4:58" x14ac:dyDescent="0.3">
      <c r="D54" t="s">
        <v>153</v>
      </c>
      <c r="E54">
        <v>1200</v>
      </c>
      <c r="F54">
        <v>2300</v>
      </c>
      <c r="G54">
        <v>570</v>
      </c>
      <c r="H54" s="114">
        <v>15480</v>
      </c>
      <c r="I54" s="114">
        <v>17340</v>
      </c>
      <c r="J54" s="113"/>
      <c r="BE54" t="s">
        <v>727</v>
      </c>
      <c r="BF54" s="159">
        <v>6640</v>
      </c>
    </row>
    <row r="55" spans="4:58" x14ac:dyDescent="0.3">
      <c r="E55">
        <v>1400</v>
      </c>
      <c r="F55">
        <v>2300</v>
      </c>
      <c r="G55">
        <v>570</v>
      </c>
      <c r="H55" s="114">
        <v>18380</v>
      </c>
      <c r="I55" s="114">
        <v>16410</v>
      </c>
      <c r="J55" s="113"/>
      <c r="BD55" t="s">
        <v>729</v>
      </c>
      <c r="BE55" t="s">
        <v>725</v>
      </c>
      <c r="BF55" s="159">
        <v>6040</v>
      </c>
    </row>
    <row r="56" spans="4:58" x14ac:dyDescent="0.3">
      <c r="E56">
        <v>1600</v>
      </c>
      <c r="F56">
        <v>2300</v>
      </c>
      <c r="G56">
        <v>570</v>
      </c>
      <c r="H56" s="114">
        <v>17530</v>
      </c>
      <c r="I56" s="114">
        <v>19640</v>
      </c>
      <c r="J56" s="113"/>
      <c r="BE56" t="s">
        <v>726</v>
      </c>
      <c r="BF56" s="159">
        <v>6390</v>
      </c>
    </row>
    <row r="57" spans="4:58" x14ac:dyDescent="0.3">
      <c r="D57" t="s">
        <v>154</v>
      </c>
      <c r="E57">
        <v>1200</v>
      </c>
      <c r="F57">
        <v>2300</v>
      </c>
      <c r="G57">
        <v>570</v>
      </c>
      <c r="H57" s="114">
        <v>15480</v>
      </c>
      <c r="I57" s="114">
        <v>17340</v>
      </c>
      <c r="J57" s="113"/>
      <c r="BE57" t="s">
        <v>727</v>
      </c>
      <c r="BF57" s="159">
        <v>7110</v>
      </c>
    </row>
    <row r="58" spans="4:58" x14ac:dyDescent="0.3">
      <c r="E58">
        <v>1400</v>
      </c>
      <c r="F58">
        <v>2300</v>
      </c>
      <c r="G58">
        <v>570</v>
      </c>
      <c r="H58" s="114">
        <v>18380</v>
      </c>
      <c r="I58" s="114">
        <v>16410</v>
      </c>
      <c r="J58" s="113"/>
      <c r="BC58" t="s">
        <v>735</v>
      </c>
      <c r="BD58" t="s">
        <v>723</v>
      </c>
      <c r="BE58" t="s">
        <v>724</v>
      </c>
      <c r="BF58" s="159">
        <v>5880</v>
      </c>
    </row>
    <row r="59" spans="4:58" x14ac:dyDescent="0.3">
      <c r="E59">
        <v>1600</v>
      </c>
      <c r="F59">
        <v>2300</v>
      </c>
      <c r="G59">
        <v>570</v>
      </c>
      <c r="H59" s="114">
        <v>17530</v>
      </c>
      <c r="I59" s="114">
        <v>19640</v>
      </c>
      <c r="J59" s="113"/>
      <c r="BE59" t="s">
        <v>725</v>
      </c>
      <c r="BF59" s="159">
        <v>6460</v>
      </c>
    </row>
    <row r="60" spans="4:58" x14ac:dyDescent="0.3">
      <c r="D60" t="s">
        <v>155</v>
      </c>
      <c r="E60">
        <v>1200</v>
      </c>
      <c r="F60">
        <v>2300</v>
      </c>
      <c r="G60">
        <v>570</v>
      </c>
      <c r="H60" s="114">
        <v>15480</v>
      </c>
      <c r="I60" s="114">
        <v>17340</v>
      </c>
      <c r="J60" s="113"/>
      <c r="BE60" t="s">
        <v>726</v>
      </c>
      <c r="BF60" s="159">
        <v>7040</v>
      </c>
    </row>
    <row r="61" spans="4:58" x14ac:dyDescent="0.3">
      <c r="E61">
        <v>1400</v>
      </c>
      <c r="F61">
        <v>2300</v>
      </c>
      <c r="G61">
        <v>570</v>
      </c>
      <c r="H61" s="114">
        <v>18380</v>
      </c>
      <c r="I61" s="114">
        <v>16410</v>
      </c>
      <c r="J61" s="113"/>
      <c r="BE61" t="s">
        <v>727</v>
      </c>
      <c r="BF61" s="159">
        <v>8220</v>
      </c>
    </row>
    <row r="62" spans="4:58" x14ac:dyDescent="0.3">
      <c r="E62">
        <v>1600</v>
      </c>
      <c r="F62">
        <v>2300</v>
      </c>
      <c r="G62">
        <v>570</v>
      </c>
      <c r="H62" s="114">
        <v>17530</v>
      </c>
      <c r="I62" s="114">
        <v>19640</v>
      </c>
      <c r="J62" s="113"/>
      <c r="BD62" t="s">
        <v>728</v>
      </c>
      <c r="BE62" t="s">
        <v>724</v>
      </c>
      <c r="BF62" s="159">
        <v>7040</v>
      </c>
    </row>
    <row r="63" spans="4:58" x14ac:dyDescent="0.3">
      <c r="D63" t="s">
        <v>156</v>
      </c>
      <c r="E63">
        <v>1200</v>
      </c>
      <c r="F63">
        <v>2300</v>
      </c>
      <c r="G63">
        <v>570</v>
      </c>
      <c r="H63" s="114">
        <v>15480</v>
      </c>
      <c r="I63" s="114">
        <v>17340</v>
      </c>
      <c r="J63" s="113"/>
      <c r="BE63" t="s">
        <v>725</v>
      </c>
      <c r="BF63" s="159">
        <v>7740</v>
      </c>
    </row>
    <row r="64" spans="4:58" x14ac:dyDescent="0.3">
      <c r="E64">
        <v>1400</v>
      </c>
      <c r="F64">
        <v>2300</v>
      </c>
      <c r="G64">
        <v>570</v>
      </c>
      <c r="H64" s="114">
        <v>18380</v>
      </c>
      <c r="I64" s="114">
        <v>16410</v>
      </c>
      <c r="J64" s="113"/>
      <c r="BE64" t="s">
        <v>726</v>
      </c>
      <c r="BF64" s="159">
        <v>8220</v>
      </c>
    </row>
    <row r="65" spans="4:58" x14ac:dyDescent="0.3">
      <c r="E65">
        <v>1600</v>
      </c>
      <c r="F65">
        <v>2300</v>
      </c>
      <c r="G65">
        <v>570</v>
      </c>
      <c r="H65" s="114">
        <v>17530</v>
      </c>
      <c r="I65" s="114">
        <v>19640</v>
      </c>
      <c r="J65" s="113"/>
      <c r="BE65" t="s">
        <v>727</v>
      </c>
      <c r="BF65" s="159">
        <v>8800</v>
      </c>
    </row>
    <row r="66" spans="4:58" x14ac:dyDescent="0.3">
      <c r="D66" t="s">
        <v>157</v>
      </c>
      <c r="E66">
        <v>1200</v>
      </c>
      <c r="F66">
        <v>2300</v>
      </c>
      <c r="G66">
        <v>570</v>
      </c>
      <c r="H66" s="114">
        <v>15480</v>
      </c>
      <c r="I66" s="114">
        <v>17340</v>
      </c>
      <c r="J66" s="113"/>
      <c r="BD66" t="s">
        <v>729</v>
      </c>
      <c r="BE66" t="s">
        <v>725</v>
      </c>
      <c r="BF66" s="159">
        <v>8220</v>
      </c>
    </row>
    <row r="67" spans="4:58" x14ac:dyDescent="0.3">
      <c r="E67">
        <v>1400</v>
      </c>
      <c r="F67">
        <v>2300</v>
      </c>
      <c r="G67">
        <v>570</v>
      </c>
      <c r="H67" s="114">
        <v>18380</v>
      </c>
      <c r="I67" s="114">
        <v>16410</v>
      </c>
      <c r="J67" s="113"/>
      <c r="BE67" t="s">
        <v>726</v>
      </c>
      <c r="BF67" s="159">
        <v>8800</v>
      </c>
    </row>
    <row r="68" spans="4:58" x14ac:dyDescent="0.3">
      <c r="E68">
        <v>1600</v>
      </c>
      <c r="F68">
        <v>2300</v>
      </c>
      <c r="G68">
        <v>570</v>
      </c>
      <c r="H68" s="114">
        <v>17530</v>
      </c>
      <c r="I68" s="114">
        <v>19640</v>
      </c>
      <c r="J68" s="113"/>
      <c r="BE68" t="s">
        <v>727</v>
      </c>
      <c r="BF68" s="159">
        <v>9380</v>
      </c>
    </row>
    <row r="69" spans="4:58" x14ac:dyDescent="0.3">
      <c r="D69" t="s">
        <v>158</v>
      </c>
      <c r="E69">
        <v>1200</v>
      </c>
      <c r="F69">
        <v>2300</v>
      </c>
      <c r="G69">
        <v>570</v>
      </c>
      <c r="H69" s="114">
        <v>15480</v>
      </c>
      <c r="I69" s="114">
        <v>17340</v>
      </c>
      <c r="J69" s="113"/>
      <c r="BC69" t="s">
        <v>736</v>
      </c>
      <c r="BD69" t="s">
        <v>723</v>
      </c>
      <c r="BE69" t="s">
        <v>724</v>
      </c>
      <c r="BF69" s="159">
        <v>5880</v>
      </c>
    </row>
    <row r="70" spans="4:58" x14ac:dyDescent="0.3">
      <c r="E70">
        <v>1400</v>
      </c>
      <c r="F70">
        <v>2300</v>
      </c>
      <c r="G70">
        <v>570</v>
      </c>
      <c r="H70" s="114">
        <v>18380</v>
      </c>
      <c r="I70" s="114">
        <v>16410</v>
      </c>
      <c r="J70" s="113"/>
      <c r="BE70" t="s">
        <v>725</v>
      </c>
      <c r="BF70" s="159">
        <v>6460</v>
      </c>
    </row>
    <row r="71" spans="4:58" x14ac:dyDescent="0.3">
      <c r="E71">
        <v>1600</v>
      </c>
      <c r="F71">
        <v>2300</v>
      </c>
      <c r="G71">
        <v>570</v>
      </c>
      <c r="H71" s="114">
        <v>17530</v>
      </c>
      <c r="I71" s="114">
        <v>19640</v>
      </c>
      <c r="J71" s="113"/>
      <c r="BE71" t="s">
        <v>726</v>
      </c>
      <c r="BF71" s="159">
        <v>7040</v>
      </c>
    </row>
    <row r="72" spans="4:58" x14ac:dyDescent="0.3">
      <c r="D72" t="s">
        <v>159</v>
      </c>
      <c r="E72">
        <v>1200</v>
      </c>
      <c r="F72">
        <v>2300</v>
      </c>
      <c r="G72">
        <v>570</v>
      </c>
      <c r="H72" s="114">
        <v>15480</v>
      </c>
      <c r="I72" s="114">
        <v>17340</v>
      </c>
      <c r="J72" s="113"/>
      <c r="BE72" t="s">
        <v>727</v>
      </c>
      <c r="BF72" s="159">
        <v>8220</v>
      </c>
    </row>
    <row r="73" spans="4:58" x14ac:dyDescent="0.3">
      <c r="E73">
        <v>1400</v>
      </c>
      <c r="F73">
        <v>2300</v>
      </c>
      <c r="G73">
        <v>570</v>
      </c>
      <c r="H73" s="114">
        <v>18380</v>
      </c>
      <c r="I73" s="114">
        <v>16410</v>
      </c>
      <c r="J73" s="113"/>
      <c r="BD73" t="s">
        <v>728</v>
      </c>
      <c r="BE73" t="s">
        <v>724</v>
      </c>
      <c r="BF73" s="159">
        <v>7040</v>
      </c>
    </row>
    <row r="74" spans="4:58" x14ac:dyDescent="0.3">
      <c r="E74">
        <v>1600</v>
      </c>
      <c r="F74">
        <v>2300</v>
      </c>
      <c r="G74">
        <v>570</v>
      </c>
      <c r="H74" s="114">
        <v>17530</v>
      </c>
      <c r="I74" s="114">
        <v>19640</v>
      </c>
      <c r="J74" s="113"/>
      <c r="BE74" t="s">
        <v>725</v>
      </c>
      <c r="BF74" s="159">
        <v>7740</v>
      </c>
    </row>
    <row r="75" spans="4:58" x14ac:dyDescent="0.3">
      <c r="D75" t="s">
        <v>917</v>
      </c>
      <c r="E75">
        <v>1200</v>
      </c>
      <c r="F75">
        <v>2300</v>
      </c>
      <c r="G75">
        <v>570</v>
      </c>
      <c r="H75" s="114">
        <v>29880</v>
      </c>
      <c r="I75" s="114">
        <v>63480</v>
      </c>
      <c r="J75" s="113"/>
      <c r="BE75" t="s">
        <v>726</v>
      </c>
      <c r="BF75" s="159">
        <v>8220</v>
      </c>
    </row>
    <row r="76" spans="4:58" x14ac:dyDescent="0.3">
      <c r="E76">
        <v>1400</v>
      </c>
      <c r="F76">
        <v>2300</v>
      </c>
      <c r="G76">
        <v>570</v>
      </c>
      <c r="H76" s="114">
        <v>31840</v>
      </c>
      <c r="I76" s="114">
        <v>67620</v>
      </c>
      <c r="J76" s="113"/>
      <c r="BE76" t="s">
        <v>727</v>
      </c>
      <c r="BF76" s="159">
        <v>8800</v>
      </c>
    </row>
    <row r="77" spans="4:58" x14ac:dyDescent="0.3">
      <c r="E77">
        <v>1600</v>
      </c>
      <c r="F77">
        <v>2300</v>
      </c>
      <c r="G77">
        <v>570</v>
      </c>
      <c r="H77" s="114">
        <v>33370</v>
      </c>
      <c r="I77" s="114">
        <v>70960</v>
      </c>
      <c r="J77" s="113"/>
      <c r="BD77" t="s">
        <v>729</v>
      </c>
      <c r="BE77" t="s">
        <v>725</v>
      </c>
      <c r="BF77" s="159">
        <v>8220</v>
      </c>
    </row>
    <row r="78" spans="4:58" x14ac:dyDescent="0.3">
      <c r="D78" t="s">
        <v>918</v>
      </c>
      <c r="E78">
        <v>1200</v>
      </c>
      <c r="F78">
        <v>2300</v>
      </c>
      <c r="G78">
        <v>570</v>
      </c>
      <c r="H78" s="114">
        <v>59760</v>
      </c>
      <c r="I78" s="114">
        <v>63480</v>
      </c>
      <c r="J78" s="113"/>
      <c r="BE78" t="s">
        <v>726</v>
      </c>
      <c r="BF78" s="159">
        <v>8800</v>
      </c>
    </row>
    <row r="79" spans="4:58" x14ac:dyDescent="0.3">
      <c r="E79">
        <v>1400</v>
      </c>
      <c r="F79">
        <v>2300</v>
      </c>
      <c r="G79">
        <v>570</v>
      </c>
      <c r="H79" s="114">
        <v>63680</v>
      </c>
      <c r="I79" s="114">
        <v>67620</v>
      </c>
      <c r="J79" s="113"/>
      <c r="BE79" t="s">
        <v>727</v>
      </c>
      <c r="BF79" s="159">
        <v>9380</v>
      </c>
    </row>
    <row r="80" spans="4:58" x14ac:dyDescent="0.3">
      <c r="E80">
        <v>1600</v>
      </c>
      <c r="F80">
        <v>2300</v>
      </c>
      <c r="G80">
        <v>570</v>
      </c>
      <c r="H80" s="114">
        <v>66740</v>
      </c>
      <c r="I80" s="114">
        <v>70960</v>
      </c>
      <c r="J80" s="113"/>
      <c r="BC80" t="s">
        <v>737</v>
      </c>
      <c r="BD80" t="s">
        <v>723</v>
      </c>
      <c r="BE80" t="s">
        <v>724</v>
      </c>
      <c r="BF80" s="159">
        <v>5400</v>
      </c>
    </row>
    <row r="81" spans="4:58" x14ac:dyDescent="0.3">
      <c r="D81" t="s">
        <v>919</v>
      </c>
      <c r="E81">
        <v>1200</v>
      </c>
      <c r="F81">
        <v>2300</v>
      </c>
      <c r="G81">
        <v>570</v>
      </c>
      <c r="H81" s="114">
        <v>29880</v>
      </c>
      <c r="I81" s="114">
        <v>31740</v>
      </c>
      <c r="J81" s="113"/>
      <c r="BE81" t="s">
        <v>725</v>
      </c>
      <c r="BF81" s="159">
        <v>5880</v>
      </c>
    </row>
    <row r="82" spans="4:58" x14ac:dyDescent="0.3">
      <c r="E82">
        <v>1400</v>
      </c>
      <c r="F82">
        <v>2300</v>
      </c>
      <c r="G82">
        <v>570</v>
      </c>
      <c r="H82" s="114">
        <v>31840</v>
      </c>
      <c r="I82" s="114">
        <v>33810</v>
      </c>
      <c r="J82" s="113"/>
      <c r="BE82" t="s">
        <v>726</v>
      </c>
      <c r="BF82" s="159">
        <v>6580</v>
      </c>
    </row>
    <row r="83" spans="4:58" x14ac:dyDescent="0.3">
      <c r="E83">
        <v>1600</v>
      </c>
      <c r="F83">
        <v>2300</v>
      </c>
      <c r="G83">
        <v>570</v>
      </c>
      <c r="H83" s="114">
        <v>33370</v>
      </c>
      <c r="I83" s="114">
        <v>55120</v>
      </c>
      <c r="J83" s="113"/>
      <c r="BE83" t="s">
        <v>727</v>
      </c>
      <c r="BF83" s="159">
        <v>7630</v>
      </c>
    </row>
    <row r="84" spans="4:58" x14ac:dyDescent="0.3">
      <c r="D84" t="s">
        <v>920</v>
      </c>
      <c r="E84">
        <v>1200</v>
      </c>
      <c r="F84">
        <v>2300</v>
      </c>
      <c r="G84">
        <v>570</v>
      </c>
      <c r="H84" s="114">
        <v>29880</v>
      </c>
      <c r="I84" s="114">
        <v>31740</v>
      </c>
      <c r="J84" s="113"/>
      <c r="BD84" t="s">
        <v>728</v>
      </c>
      <c r="BE84" t="s">
        <v>724</v>
      </c>
      <c r="BF84" s="159">
        <v>6460</v>
      </c>
    </row>
    <row r="85" spans="4:58" x14ac:dyDescent="0.3">
      <c r="E85">
        <v>1400</v>
      </c>
      <c r="F85">
        <v>2300</v>
      </c>
      <c r="G85">
        <v>570</v>
      </c>
      <c r="H85" s="114">
        <v>31840</v>
      </c>
      <c r="I85" s="114">
        <v>33810</v>
      </c>
      <c r="J85" s="113"/>
      <c r="BE85" t="s">
        <v>725</v>
      </c>
      <c r="BF85" s="159">
        <v>7040</v>
      </c>
    </row>
    <row r="86" spans="4:58" x14ac:dyDescent="0.3">
      <c r="E86">
        <v>1600</v>
      </c>
      <c r="F86">
        <v>2300</v>
      </c>
      <c r="G86">
        <v>570</v>
      </c>
      <c r="H86" s="114">
        <v>33370</v>
      </c>
      <c r="I86" s="114">
        <v>35480</v>
      </c>
      <c r="J86" s="113"/>
      <c r="BE86" t="s">
        <v>726</v>
      </c>
      <c r="BF86" s="159">
        <v>7630</v>
      </c>
    </row>
    <row r="87" spans="4:58" x14ac:dyDescent="0.3">
      <c r="D87" t="s">
        <v>921</v>
      </c>
      <c r="E87">
        <v>1200</v>
      </c>
      <c r="F87">
        <v>2300</v>
      </c>
      <c r="G87">
        <v>570</v>
      </c>
      <c r="H87" s="114">
        <v>29880</v>
      </c>
      <c r="I87" s="114">
        <v>31740</v>
      </c>
      <c r="J87" s="113"/>
      <c r="BE87" t="s">
        <v>727</v>
      </c>
      <c r="BF87" s="159">
        <v>8090</v>
      </c>
    </row>
    <row r="88" spans="4:58" x14ac:dyDescent="0.3">
      <c r="E88">
        <v>1400</v>
      </c>
      <c r="F88">
        <v>2300</v>
      </c>
      <c r="G88">
        <v>570</v>
      </c>
      <c r="H88" s="114">
        <v>31840</v>
      </c>
      <c r="I88" s="114">
        <v>33810</v>
      </c>
      <c r="J88" s="113"/>
      <c r="BD88" t="s">
        <v>729</v>
      </c>
      <c r="BE88" t="s">
        <v>725</v>
      </c>
      <c r="BF88" s="159">
        <v>7630</v>
      </c>
    </row>
    <row r="89" spans="4:58" x14ac:dyDescent="0.3">
      <c r="E89">
        <v>1600</v>
      </c>
      <c r="F89">
        <v>2300</v>
      </c>
      <c r="G89">
        <v>570</v>
      </c>
      <c r="H89" s="114">
        <v>33370</v>
      </c>
      <c r="I89" s="114">
        <v>35480</v>
      </c>
      <c r="J89" s="113"/>
      <c r="BE89" t="s">
        <v>726</v>
      </c>
      <c r="BF89" s="159">
        <v>8090</v>
      </c>
    </row>
    <row r="90" spans="4:58" x14ac:dyDescent="0.3">
      <c r="D90" t="s">
        <v>931</v>
      </c>
      <c r="E90">
        <v>1200</v>
      </c>
      <c r="F90">
        <v>2300</v>
      </c>
      <c r="G90">
        <v>570</v>
      </c>
      <c r="H90" s="114">
        <v>23160</v>
      </c>
      <c r="I90" s="114"/>
      <c r="J90" s="113"/>
      <c r="BE90" t="s">
        <v>727</v>
      </c>
      <c r="BF90" s="159">
        <v>8700</v>
      </c>
    </row>
    <row r="91" spans="4:58" x14ac:dyDescent="0.3">
      <c r="E91">
        <v>1400</v>
      </c>
      <c r="F91">
        <v>2300</v>
      </c>
      <c r="G91">
        <v>570</v>
      </c>
      <c r="H91" s="114">
        <v>24710</v>
      </c>
      <c r="I91" s="114"/>
      <c r="J91" s="113"/>
      <c r="BC91" t="s">
        <v>738</v>
      </c>
      <c r="BD91" t="s">
        <v>723</v>
      </c>
      <c r="BE91" t="s">
        <v>724</v>
      </c>
      <c r="BF91" s="159">
        <v>4710</v>
      </c>
    </row>
    <row r="92" spans="4:58" x14ac:dyDescent="0.3">
      <c r="E92">
        <v>1600</v>
      </c>
      <c r="F92">
        <v>2300</v>
      </c>
      <c r="G92">
        <v>570</v>
      </c>
      <c r="H92" s="114">
        <v>26730</v>
      </c>
      <c r="I92" s="114"/>
      <c r="J92" s="113"/>
      <c r="BE92" t="s">
        <v>725</v>
      </c>
      <c r="BF92" s="159">
        <v>5170</v>
      </c>
    </row>
    <row r="93" spans="4:58" x14ac:dyDescent="0.3">
      <c r="D93" t="s">
        <v>932</v>
      </c>
      <c r="E93">
        <v>1200</v>
      </c>
      <c r="F93">
        <v>2300</v>
      </c>
      <c r="G93">
        <v>570</v>
      </c>
      <c r="H93" s="114">
        <v>24970</v>
      </c>
      <c r="I93" s="114"/>
      <c r="J93" s="113"/>
      <c r="BE93" t="s">
        <v>726</v>
      </c>
      <c r="BF93" s="159">
        <v>5500</v>
      </c>
    </row>
    <row r="94" spans="4:58" x14ac:dyDescent="0.3">
      <c r="E94">
        <v>1400</v>
      </c>
      <c r="F94">
        <v>2300</v>
      </c>
      <c r="G94">
        <v>570</v>
      </c>
      <c r="H94" s="114">
        <v>26580</v>
      </c>
      <c r="I94" s="114"/>
      <c r="J94" s="113"/>
      <c r="BE94" t="s">
        <v>727</v>
      </c>
      <c r="BF94" s="159">
        <v>5880</v>
      </c>
    </row>
    <row r="95" spans="4:58" x14ac:dyDescent="0.3">
      <c r="E95">
        <v>1600</v>
      </c>
      <c r="F95">
        <v>2300</v>
      </c>
      <c r="G95">
        <v>570</v>
      </c>
      <c r="H95" s="114">
        <v>28500</v>
      </c>
      <c r="I95" s="114"/>
      <c r="J95" s="113"/>
      <c r="BD95" t="s">
        <v>728</v>
      </c>
      <c r="BE95" t="s">
        <v>724</v>
      </c>
      <c r="BF95" s="159">
        <v>5400</v>
      </c>
    </row>
    <row r="96" spans="4:58" x14ac:dyDescent="0.3">
      <c r="D96" t="s">
        <v>949</v>
      </c>
      <c r="E96">
        <v>1200</v>
      </c>
      <c r="F96">
        <v>2300</v>
      </c>
      <c r="G96">
        <v>570</v>
      </c>
      <c r="H96" s="114">
        <v>26520</v>
      </c>
      <c r="I96" s="114"/>
      <c r="J96" s="113"/>
      <c r="BE96" t="s">
        <v>725</v>
      </c>
      <c r="BF96" s="159">
        <v>5500</v>
      </c>
    </row>
    <row r="97" spans="3:58" x14ac:dyDescent="0.3">
      <c r="E97">
        <v>1400</v>
      </c>
      <c r="F97">
        <v>2300</v>
      </c>
      <c r="G97">
        <v>570</v>
      </c>
      <c r="H97" s="114">
        <v>28280</v>
      </c>
      <c r="I97" s="114"/>
      <c r="J97" s="113"/>
      <c r="BE97" t="s">
        <v>726</v>
      </c>
      <c r="BF97" s="159">
        <v>5880</v>
      </c>
    </row>
    <row r="98" spans="3:58" x14ac:dyDescent="0.3">
      <c r="E98">
        <v>1600</v>
      </c>
      <c r="F98">
        <v>2300</v>
      </c>
      <c r="G98">
        <v>570</v>
      </c>
      <c r="H98" s="114">
        <v>30050</v>
      </c>
      <c r="I98" s="114"/>
      <c r="J98" s="113"/>
      <c r="BE98" t="s">
        <v>727</v>
      </c>
      <c r="BF98" s="159">
        <v>6460</v>
      </c>
    </row>
    <row r="99" spans="3:58" x14ac:dyDescent="0.3">
      <c r="D99" t="s">
        <v>950</v>
      </c>
      <c r="E99">
        <v>1200</v>
      </c>
      <c r="F99">
        <v>2300</v>
      </c>
      <c r="G99">
        <v>570</v>
      </c>
      <c r="H99" s="114">
        <v>26520</v>
      </c>
      <c r="I99" s="114"/>
      <c r="J99" s="113"/>
      <c r="BD99" t="s">
        <v>729</v>
      </c>
      <c r="BE99" t="s">
        <v>725</v>
      </c>
      <c r="BF99" s="159">
        <v>5880</v>
      </c>
    </row>
    <row r="100" spans="3:58" x14ac:dyDescent="0.3">
      <c r="E100">
        <v>1400</v>
      </c>
      <c r="F100">
        <v>2300</v>
      </c>
      <c r="G100">
        <v>570</v>
      </c>
      <c r="H100" s="114">
        <v>28280</v>
      </c>
      <c r="I100" s="114"/>
      <c r="J100" s="113"/>
      <c r="BE100" t="s">
        <v>726</v>
      </c>
      <c r="BF100" s="159">
        <v>6110</v>
      </c>
    </row>
    <row r="101" spans="3:58" x14ac:dyDescent="0.3">
      <c r="E101">
        <v>1600</v>
      </c>
      <c r="F101">
        <v>2300</v>
      </c>
      <c r="G101">
        <v>570</v>
      </c>
      <c r="H101" s="114">
        <v>30050</v>
      </c>
      <c r="I101" s="114"/>
      <c r="J101" s="113"/>
      <c r="BE101" t="s">
        <v>727</v>
      </c>
      <c r="BF101" s="159">
        <v>6930</v>
      </c>
    </row>
    <row r="102" spans="3:58" x14ac:dyDescent="0.3">
      <c r="D102" t="s">
        <v>951</v>
      </c>
      <c r="E102">
        <v>1200</v>
      </c>
      <c r="F102">
        <v>2300</v>
      </c>
      <c r="G102">
        <v>570</v>
      </c>
      <c r="H102" s="114">
        <v>26520</v>
      </c>
      <c r="I102" s="114"/>
      <c r="J102" s="113"/>
      <c r="BC102" t="s">
        <v>739</v>
      </c>
      <c r="BD102" t="s">
        <v>723</v>
      </c>
      <c r="BE102" t="s">
        <v>724</v>
      </c>
      <c r="BF102" s="159">
        <v>4710</v>
      </c>
    </row>
    <row r="103" spans="3:58" x14ac:dyDescent="0.3">
      <c r="E103">
        <v>1400</v>
      </c>
      <c r="F103">
        <v>2300</v>
      </c>
      <c r="G103">
        <v>570</v>
      </c>
      <c r="H103" s="114">
        <v>28280</v>
      </c>
      <c r="I103" s="114"/>
      <c r="J103" s="113"/>
      <c r="BC103" t="s">
        <v>740</v>
      </c>
      <c r="BD103" t="s">
        <v>723</v>
      </c>
      <c r="BE103" t="s">
        <v>725</v>
      </c>
      <c r="BF103" s="159">
        <v>5170</v>
      </c>
    </row>
    <row r="104" spans="3:58" x14ac:dyDescent="0.3">
      <c r="E104">
        <v>1600</v>
      </c>
      <c r="F104">
        <v>2300</v>
      </c>
      <c r="G104">
        <v>570</v>
      </c>
      <c r="H104" s="114">
        <v>30050</v>
      </c>
      <c r="I104" s="114"/>
      <c r="J104" s="113"/>
      <c r="BE104" t="s">
        <v>726</v>
      </c>
      <c r="BF104" s="159">
        <v>5500</v>
      </c>
    </row>
    <row r="105" spans="3:58" x14ac:dyDescent="0.3">
      <c r="D105" t="s">
        <v>952</v>
      </c>
      <c r="E105">
        <v>1200</v>
      </c>
      <c r="F105">
        <v>2300</v>
      </c>
      <c r="G105">
        <v>570</v>
      </c>
      <c r="H105" s="114">
        <v>26520</v>
      </c>
      <c r="I105" s="114"/>
      <c r="J105" s="113"/>
      <c r="BE105" t="s">
        <v>727</v>
      </c>
      <c r="BF105" s="159">
        <v>5880</v>
      </c>
    </row>
    <row r="106" spans="3:58" x14ac:dyDescent="0.3">
      <c r="E106">
        <v>1400</v>
      </c>
      <c r="F106">
        <v>2300</v>
      </c>
      <c r="G106">
        <v>570</v>
      </c>
      <c r="H106" s="114">
        <v>28280</v>
      </c>
      <c r="I106" s="114"/>
      <c r="J106" s="113"/>
      <c r="BD106" t="s">
        <v>728</v>
      </c>
      <c r="BE106" t="s">
        <v>724</v>
      </c>
      <c r="BF106" s="159">
        <v>5400</v>
      </c>
    </row>
    <row r="107" spans="3:58" x14ac:dyDescent="0.3">
      <c r="E107">
        <v>1600</v>
      </c>
      <c r="F107">
        <v>2300</v>
      </c>
      <c r="G107">
        <v>570</v>
      </c>
      <c r="H107" s="114">
        <v>30050</v>
      </c>
      <c r="I107" s="114"/>
      <c r="J107" s="113"/>
      <c r="BE107" t="s">
        <v>725</v>
      </c>
      <c r="BF107" s="159">
        <v>5500</v>
      </c>
    </row>
    <row r="108" spans="3:58" x14ac:dyDescent="0.3">
      <c r="D108" t="s">
        <v>953</v>
      </c>
      <c r="E108">
        <v>1200</v>
      </c>
      <c r="F108">
        <v>2300</v>
      </c>
      <c r="G108">
        <v>570</v>
      </c>
      <c r="H108" s="114">
        <v>26520</v>
      </c>
      <c r="I108" s="114"/>
      <c r="J108" s="113"/>
      <c r="BE108" t="s">
        <v>726</v>
      </c>
      <c r="BF108" s="159">
        <v>5880</v>
      </c>
    </row>
    <row r="109" spans="3:58" x14ac:dyDescent="0.3">
      <c r="E109">
        <v>1400</v>
      </c>
      <c r="F109">
        <v>2300</v>
      </c>
      <c r="G109">
        <v>570</v>
      </c>
      <c r="H109" s="114">
        <v>28280</v>
      </c>
      <c r="I109" s="114"/>
      <c r="J109" s="113"/>
      <c r="BE109" t="s">
        <v>727</v>
      </c>
      <c r="BF109" s="159">
        <v>6460</v>
      </c>
    </row>
    <row r="110" spans="3:58" x14ac:dyDescent="0.3">
      <c r="E110">
        <v>1600</v>
      </c>
      <c r="F110">
        <v>2300</v>
      </c>
      <c r="G110">
        <v>570</v>
      </c>
      <c r="H110" s="114">
        <v>30050</v>
      </c>
      <c r="I110" s="114"/>
      <c r="J110" s="113"/>
      <c r="BD110" t="s">
        <v>729</v>
      </c>
      <c r="BE110" t="s">
        <v>725</v>
      </c>
      <c r="BF110" s="159">
        <v>5880</v>
      </c>
    </row>
    <row r="111" spans="3:58" x14ac:dyDescent="0.3">
      <c r="C111" t="s">
        <v>829</v>
      </c>
      <c r="D111" t="s">
        <v>160</v>
      </c>
      <c r="E111">
        <v>1800</v>
      </c>
      <c r="F111">
        <v>2300</v>
      </c>
      <c r="G111">
        <v>570</v>
      </c>
      <c r="H111" s="114">
        <v>39350</v>
      </c>
      <c r="I111" s="114">
        <v>41670</v>
      </c>
      <c r="J111" s="113"/>
      <c r="BE111" t="s">
        <v>726</v>
      </c>
      <c r="BF111" s="159">
        <v>6110</v>
      </c>
    </row>
    <row r="112" spans="3:58" x14ac:dyDescent="0.3">
      <c r="E112">
        <v>2100</v>
      </c>
      <c r="F112">
        <v>2300</v>
      </c>
      <c r="G112">
        <v>570</v>
      </c>
      <c r="H112" s="114">
        <v>43520</v>
      </c>
      <c r="I112" s="114">
        <v>46170</v>
      </c>
      <c r="J112" s="113"/>
      <c r="BE112" t="s">
        <v>727</v>
      </c>
      <c r="BF112" s="159">
        <v>6930</v>
      </c>
    </row>
    <row r="113" spans="4:58" x14ac:dyDescent="0.3">
      <c r="D113" t="s">
        <v>161</v>
      </c>
      <c r="E113">
        <v>1800</v>
      </c>
      <c r="F113">
        <v>2300</v>
      </c>
      <c r="G113">
        <v>570</v>
      </c>
      <c r="H113" s="114">
        <v>36640</v>
      </c>
      <c r="I113" s="114">
        <v>39320</v>
      </c>
      <c r="J113" s="113"/>
      <c r="BC113" t="s">
        <v>804</v>
      </c>
      <c r="BD113" t="s">
        <v>723</v>
      </c>
      <c r="BE113" t="s">
        <v>724</v>
      </c>
      <c r="BF113" s="159">
        <v>5080</v>
      </c>
    </row>
    <row r="114" spans="4:58" x14ac:dyDescent="0.3">
      <c r="E114">
        <v>2100</v>
      </c>
      <c r="F114">
        <v>2300</v>
      </c>
      <c r="G114">
        <v>570</v>
      </c>
      <c r="H114" s="114">
        <v>40680</v>
      </c>
      <c r="I114" s="114">
        <v>43720</v>
      </c>
      <c r="J114" s="113"/>
      <c r="BE114" t="s">
        <v>725</v>
      </c>
      <c r="BF114" s="159">
        <v>5430</v>
      </c>
    </row>
    <row r="115" spans="4:58" x14ac:dyDescent="0.3">
      <c r="D115" t="s">
        <v>162</v>
      </c>
      <c r="E115">
        <v>1800</v>
      </c>
      <c r="F115">
        <v>2300</v>
      </c>
      <c r="G115">
        <v>570</v>
      </c>
      <c r="H115" s="114">
        <v>40900</v>
      </c>
      <c r="I115" s="114">
        <v>43220</v>
      </c>
      <c r="J115" s="113"/>
      <c r="BE115" t="s">
        <v>726</v>
      </c>
      <c r="BF115" s="159">
        <v>5680</v>
      </c>
    </row>
    <row r="116" spans="4:58" x14ac:dyDescent="0.3">
      <c r="E116">
        <v>2100</v>
      </c>
      <c r="F116">
        <v>2300</v>
      </c>
      <c r="G116">
        <v>570</v>
      </c>
      <c r="H116" s="114">
        <v>45220</v>
      </c>
      <c r="I116" s="114">
        <v>47870</v>
      </c>
      <c r="J116" s="113"/>
      <c r="BE116" t="s">
        <v>727</v>
      </c>
      <c r="BF116" s="159">
        <v>6040</v>
      </c>
    </row>
    <row r="117" spans="4:58" x14ac:dyDescent="0.3">
      <c r="D117" t="s">
        <v>163</v>
      </c>
      <c r="E117">
        <v>1800</v>
      </c>
      <c r="F117">
        <v>2300</v>
      </c>
      <c r="G117">
        <v>570</v>
      </c>
      <c r="H117" s="114">
        <v>37800</v>
      </c>
      <c r="I117" s="114">
        <v>40120</v>
      </c>
      <c r="J117" s="113"/>
      <c r="BD117" t="s">
        <v>728</v>
      </c>
      <c r="BE117" t="s">
        <v>724</v>
      </c>
      <c r="BF117" s="159">
        <v>5680</v>
      </c>
    </row>
    <row r="118" spans="4:58" x14ac:dyDescent="0.3">
      <c r="E118">
        <v>2100</v>
      </c>
      <c r="F118">
        <v>2300</v>
      </c>
      <c r="G118">
        <v>570</v>
      </c>
      <c r="H118" s="114">
        <v>41820</v>
      </c>
      <c r="I118" s="114">
        <v>44470</v>
      </c>
      <c r="J118" s="113"/>
      <c r="BE118" t="s">
        <v>725</v>
      </c>
      <c r="BF118" s="159">
        <v>5800</v>
      </c>
    </row>
    <row r="119" spans="4:58" x14ac:dyDescent="0.3">
      <c r="D119" t="s">
        <v>164</v>
      </c>
      <c r="E119">
        <v>1800</v>
      </c>
      <c r="F119">
        <v>2300</v>
      </c>
      <c r="G119">
        <v>570</v>
      </c>
      <c r="H119" s="114">
        <v>33540</v>
      </c>
      <c r="I119" s="114">
        <v>36220</v>
      </c>
      <c r="J119" s="113"/>
      <c r="BE119" t="s">
        <v>726</v>
      </c>
      <c r="BF119" s="159">
        <v>6040</v>
      </c>
    </row>
    <row r="120" spans="4:58" x14ac:dyDescent="0.3">
      <c r="E120">
        <v>2100</v>
      </c>
      <c r="F120">
        <v>2300</v>
      </c>
      <c r="G120">
        <v>570</v>
      </c>
      <c r="H120" s="114">
        <v>37280</v>
      </c>
      <c r="I120" s="114">
        <v>40320</v>
      </c>
      <c r="J120" s="113"/>
      <c r="BE120" t="s">
        <v>727</v>
      </c>
      <c r="BF120" s="159">
        <v>6640</v>
      </c>
    </row>
    <row r="121" spans="4:58" x14ac:dyDescent="0.3">
      <c r="D121" t="s">
        <v>165</v>
      </c>
      <c r="E121">
        <v>1800</v>
      </c>
      <c r="F121">
        <v>2300</v>
      </c>
      <c r="G121">
        <v>570</v>
      </c>
      <c r="H121" s="114">
        <v>36250</v>
      </c>
      <c r="I121" s="114">
        <v>38570</v>
      </c>
      <c r="J121" s="113"/>
      <c r="BD121" t="s">
        <v>729</v>
      </c>
      <c r="BE121" t="s">
        <v>725</v>
      </c>
      <c r="BF121" s="159">
        <v>6040</v>
      </c>
    </row>
    <row r="122" spans="4:58" x14ac:dyDescent="0.3">
      <c r="E122">
        <v>2100</v>
      </c>
      <c r="F122">
        <v>2300</v>
      </c>
      <c r="G122">
        <v>570</v>
      </c>
      <c r="H122" s="114">
        <v>40120</v>
      </c>
      <c r="I122" s="114">
        <v>42770</v>
      </c>
      <c r="J122" s="113"/>
      <c r="BE122" t="s">
        <v>726</v>
      </c>
      <c r="BF122" s="159">
        <v>6390</v>
      </c>
    </row>
    <row r="123" spans="4:58" x14ac:dyDescent="0.3">
      <c r="D123" t="s">
        <v>166</v>
      </c>
      <c r="E123">
        <v>1800</v>
      </c>
      <c r="F123">
        <v>2300</v>
      </c>
      <c r="G123">
        <v>570</v>
      </c>
      <c r="H123" s="114">
        <v>32380</v>
      </c>
      <c r="I123" s="114">
        <v>35420</v>
      </c>
      <c r="J123" s="113"/>
      <c r="BE123" t="s">
        <v>727</v>
      </c>
      <c r="BF123" s="159">
        <v>7110</v>
      </c>
    </row>
    <row r="124" spans="4:58" x14ac:dyDescent="0.3">
      <c r="E124">
        <v>2100</v>
      </c>
      <c r="F124">
        <v>2300</v>
      </c>
      <c r="G124">
        <v>570</v>
      </c>
      <c r="H124" s="114">
        <v>36140</v>
      </c>
      <c r="I124" s="114">
        <v>39570</v>
      </c>
      <c r="J124" s="113"/>
      <c r="BC124" t="s">
        <v>805</v>
      </c>
      <c r="BD124" t="s">
        <v>723</v>
      </c>
      <c r="BE124" t="s">
        <v>724</v>
      </c>
      <c r="BF124" s="159">
        <v>4710</v>
      </c>
    </row>
    <row r="125" spans="4:58" x14ac:dyDescent="0.3">
      <c r="D125" t="s">
        <v>167</v>
      </c>
      <c r="E125">
        <v>1800</v>
      </c>
      <c r="F125">
        <v>2300</v>
      </c>
      <c r="G125">
        <v>570</v>
      </c>
      <c r="H125" s="114">
        <v>30830</v>
      </c>
      <c r="I125" s="114">
        <v>33870</v>
      </c>
      <c r="J125" s="113"/>
      <c r="BE125" t="s">
        <v>725</v>
      </c>
      <c r="BF125" s="159">
        <v>5170</v>
      </c>
    </row>
    <row r="126" spans="4:58" x14ac:dyDescent="0.3">
      <c r="E126">
        <v>2100</v>
      </c>
      <c r="F126">
        <v>2300</v>
      </c>
      <c r="G126">
        <v>570</v>
      </c>
      <c r="H126" s="114">
        <v>34440</v>
      </c>
      <c r="I126" s="114">
        <v>37870</v>
      </c>
      <c r="J126" s="113"/>
      <c r="BE126" t="s">
        <v>726</v>
      </c>
      <c r="BF126" s="159">
        <v>5500</v>
      </c>
    </row>
    <row r="127" spans="4:58" x14ac:dyDescent="0.3">
      <c r="D127" t="s">
        <v>168</v>
      </c>
      <c r="E127">
        <v>1800</v>
      </c>
      <c r="F127">
        <v>2300</v>
      </c>
      <c r="G127">
        <v>570</v>
      </c>
      <c r="H127" s="114">
        <v>32380</v>
      </c>
      <c r="I127" s="114">
        <v>35420</v>
      </c>
      <c r="J127" s="113"/>
      <c r="BE127" t="s">
        <v>727</v>
      </c>
      <c r="BF127" s="159">
        <v>5880</v>
      </c>
    </row>
    <row r="128" spans="4:58" x14ac:dyDescent="0.3">
      <c r="E128">
        <v>2100</v>
      </c>
      <c r="F128">
        <v>2300</v>
      </c>
      <c r="G128">
        <v>570</v>
      </c>
      <c r="H128" s="114">
        <v>36140</v>
      </c>
      <c r="I128" s="114">
        <v>39570</v>
      </c>
      <c r="J128" s="113"/>
      <c r="BD128" t="s">
        <v>728</v>
      </c>
      <c r="BE128" t="s">
        <v>724</v>
      </c>
      <c r="BF128" s="159">
        <v>5400</v>
      </c>
    </row>
    <row r="129" spans="4:58" x14ac:dyDescent="0.3">
      <c r="D129" t="s">
        <v>169</v>
      </c>
      <c r="E129">
        <v>1800</v>
      </c>
      <c r="F129">
        <v>2300</v>
      </c>
      <c r="G129">
        <v>570</v>
      </c>
      <c r="H129" s="114">
        <v>28120</v>
      </c>
      <c r="I129" s="114">
        <v>31520</v>
      </c>
      <c r="J129" s="113"/>
      <c r="BE129" t="s">
        <v>725</v>
      </c>
      <c r="BF129" s="159">
        <v>5500</v>
      </c>
    </row>
    <row r="130" spans="4:58" x14ac:dyDescent="0.3">
      <c r="E130">
        <v>2100</v>
      </c>
      <c r="F130">
        <v>2300</v>
      </c>
      <c r="G130">
        <v>570</v>
      </c>
      <c r="H130" s="114">
        <v>31600</v>
      </c>
      <c r="I130" s="114">
        <v>35420</v>
      </c>
      <c r="J130" s="113"/>
      <c r="BE130" t="s">
        <v>726</v>
      </c>
      <c r="BF130" s="159">
        <v>5880</v>
      </c>
    </row>
    <row r="131" spans="4:58" x14ac:dyDescent="0.3">
      <c r="D131" t="s">
        <v>170</v>
      </c>
      <c r="E131">
        <v>1800</v>
      </c>
      <c r="F131">
        <v>2300</v>
      </c>
      <c r="G131">
        <v>570</v>
      </c>
      <c r="H131" s="114">
        <v>39350</v>
      </c>
      <c r="I131" s="114">
        <v>41670</v>
      </c>
      <c r="J131" s="113"/>
      <c r="BE131" t="s">
        <v>727</v>
      </c>
      <c r="BF131" s="159">
        <v>6460</v>
      </c>
    </row>
    <row r="132" spans="4:58" x14ac:dyDescent="0.3">
      <c r="E132">
        <v>2100</v>
      </c>
      <c r="F132">
        <v>2300</v>
      </c>
      <c r="G132">
        <v>570</v>
      </c>
      <c r="H132" s="114">
        <v>43520</v>
      </c>
      <c r="I132" s="114">
        <v>46170</v>
      </c>
      <c r="J132" s="113"/>
      <c r="BD132" t="s">
        <v>729</v>
      </c>
      <c r="BE132" t="s">
        <v>725</v>
      </c>
      <c r="BF132" s="159">
        <v>6110</v>
      </c>
    </row>
    <row r="133" spans="4:58" x14ac:dyDescent="0.3">
      <c r="D133" t="s">
        <v>171</v>
      </c>
      <c r="E133">
        <v>1800</v>
      </c>
      <c r="F133">
        <v>2300</v>
      </c>
      <c r="G133">
        <v>570</v>
      </c>
      <c r="H133" s="114">
        <v>36640</v>
      </c>
      <c r="I133" s="114">
        <v>39320</v>
      </c>
      <c r="J133" s="113"/>
      <c r="BE133" t="s">
        <v>726</v>
      </c>
      <c r="BF133" s="159">
        <v>5880</v>
      </c>
    </row>
    <row r="134" spans="4:58" x14ac:dyDescent="0.3">
      <c r="E134">
        <v>2100</v>
      </c>
      <c r="F134">
        <v>2300</v>
      </c>
      <c r="G134">
        <v>570</v>
      </c>
      <c r="H134" s="114">
        <v>40680</v>
      </c>
      <c r="I134" s="114">
        <v>43720</v>
      </c>
      <c r="J134" s="113"/>
      <c r="BE134" t="s">
        <v>727</v>
      </c>
      <c r="BF134" s="159">
        <v>6930</v>
      </c>
    </row>
    <row r="135" spans="4:58" x14ac:dyDescent="0.3">
      <c r="D135" t="s">
        <v>172</v>
      </c>
      <c r="E135">
        <v>1800</v>
      </c>
      <c r="F135">
        <v>2300</v>
      </c>
      <c r="G135">
        <v>570</v>
      </c>
      <c r="H135" s="114">
        <v>40900</v>
      </c>
      <c r="I135" s="114">
        <v>43220</v>
      </c>
      <c r="J135" s="113"/>
      <c r="BC135" t="s">
        <v>806</v>
      </c>
      <c r="BD135" t="s">
        <v>723</v>
      </c>
      <c r="BE135" t="s">
        <v>724</v>
      </c>
      <c r="BF135" s="159">
        <v>5080</v>
      </c>
    </row>
    <row r="136" spans="4:58" x14ac:dyDescent="0.3">
      <c r="E136">
        <v>2100</v>
      </c>
      <c r="F136">
        <v>2300</v>
      </c>
      <c r="G136">
        <v>570</v>
      </c>
      <c r="H136" s="114">
        <v>45220</v>
      </c>
      <c r="I136" s="114">
        <v>47870</v>
      </c>
      <c r="J136" s="113"/>
      <c r="BE136" t="s">
        <v>725</v>
      </c>
      <c r="BF136" s="159">
        <v>5430</v>
      </c>
    </row>
    <row r="137" spans="4:58" x14ac:dyDescent="0.3">
      <c r="D137" t="s">
        <v>173</v>
      </c>
      <c r="E137">
        <v>1800</v>
      </c>
      <c r="F137">
        <v>2300</v>
      </c>
      <c r="G137">
        <v>570</v>
      </c>
      <c r="H137" s="114">
        <v>37800</v>
      </c>
      <c r="I137" s="114">
        <v>40120</v>
      </c>
      <c r="J137" s="113"/>
      <c r="BE137" t="s">
        <v>726</v>
      </c>
      <c r="BF137" s="159">
        <v>5680</v>
      </c>
    </row>
    <row r="138" spans="4:58" x14ac:dyDescent="0.3">
      <c r="E138">
        <v>2100</v>
      </c>
      <c r="F138">
        <v>2300</v>
      </c>
      <c r="G138">
        <v>570</v>
      </c>
      <c r="H138" s="114">
        <v>41820</v>
      </c>
      <c r="I138" s="114">
        <v>44470</v>
      </c>
      <c r="J138" s="113"/>
      <c r="BE138" t="s">
        <v>727</v>
      </c>
      <c r="BF138" s="159">
        <v>6040</v>
      </c>
    </row>
    <row r="139" spans="4:58" x14ac:dyDescent="0.3">
      <c r="D139" t="s">
        <v>174</v>
      </c>
      <c r="E139">
        <v>1800</v>
      </c>
      <c r="F139">
        <v>2300</v>
      </c>
      <c r="G139">
        <v>570</v>
      </c>
      <c r="H139" s="114">
        <v>19300</v>
      </c>
      <c r="I139" s="114">
        <v>21620</v>
      </c>
      <c r="J139" s="113"/>
      <c r="BD139" t="s">
        <v>728</v>
      </c>
      <c r="BE139" t="s">
        <v>724</v>
      </c>
      <c r="BF139" s="159">
        <v>5680</v>
      </c>
    </row>
    <row r="140" spans="4:58" x14ac:dyDescent="0.3">
      <c r="E140">
        <v>2100</v>
      </c>
      <c r="F140">
        <v>2300</v>
      </c>
      <c r="G140">
        <v>570</v>
      </c>
      <c r="H140" s="114">
        <v>22060</v>
      </c>
      <c r="I140" s="114">
        <v>24710</v>
      </c>
      <c r="J140" s="113"/>
      <c r="BE140" t="s">
        <v>725</v>
      </c>
      <c r="BF140" s="159">
        <v>5800</v>
      </c>
    </row>
    <row r="141" spans="4:58" x14ac:dyDescent="0.3">
      <c r="D141" t="s">
        <v>175</v>
      </c>
      <c r="E141">
        <v>1800</v>
      </c>
      <c r="F141">
        <v>2300</v>
      </c>
      <c r="G141">
        <v>570</v>
      </c>
      <c r="H141" s="114">
        <v>19300</v>
      </c>
      <c r="I141" s="114">
        <v>21620</v>
      </c>
      <c r="J141" s="113"/>
      <c r="BE141" t="s">
        <v>726</v>
      </c>
      <c r="BF141" s="159">
        <v>6040</v>
      </c>
    </row>
    <row r="142" spans="4:58" x14ac:dyDescent="0.3">
      <c r="E142">
        <v>2100</v>
      </c>
      <c r="F142">
        <v>2300</v>
      </c>
      <c r="G142">
        <v>570</v>
      </c>
      <c r="H142" s="114">
        <v>22060</v>
      </c>
      <c r="I142" s="114">
        <v>24710</v>
      </c>
      <c r="J142" s="113"/>
      <c r="BE142" t="s">
        <v>727</v>
      </c>
      <c r="BF142" s="159">
        <v>6640</v>
      </c>
    </row>
    <row r="143" spans="4:58" x14ac:dyDescent="0.3">
      <c r="D143" t="s">
        <v>176</v>
      </c>
      <c r="E143">
        <v>1800</v>
      </c>
      <c r="F143">
        <v>2300</v>
      </c>
      <c r="G143">
        <v>570</v>
      </c>
      <c r="H143" s="114">
        <v>19300</v>
      </c>
      <c r="I143" s="114">
        <v>21620</v>
      </c>
      <c r="J143" s="113"/>
      <c r="BD143" t="s">
        <v>729</v>
      </c>
      <c r="BE143" t="s">
        <v>725</v>
      </c>
      <c r="BF143" s="159">
        <v>6040</v>
      </c>
    </row>
    <row r="144" spans="4:58" x14ac:dyDescent="0.3">
      <c r="E144">
        <v>2100</v>
      </c>
      <c r="F144">
        <v>2300</v>
      </c>
      <c r="G144">
        <v>570</v>
      </c>
      <c r="H144" s="114">
        <v>22060</v>
      </c>
      <c r="I144" s="114">
        <v>24710</v>
      </c>
      <c r="J144" s="113"/>
      <c r="BE144" t="s">
        <v>726</v>
      </c>
      <c r="BF144" s="159">
        <v>6390</v>
      </c>
    </row>
    <row r="145" spans="4:58" x14ac:dyDescent="0.3">
      <c r="D145" t="s">
        <v>177</v>
      </c>
      <c r="E145">
        <v>1800</v>
      </c>
      <c r="F145">
        <v>2300</v>
      </c>
      <c r="G145">
        <v>570</v>
      </c>
      <c r="H145" s="114">
        <v>19300</v>
      </c>
      <c r="I145" s="114">
        <v>21620</v>
      </c>
      <c r="J145" s="113"/>
      <c r="BE145" t="s">
        <v>727</v>
      </c>
      <c r="BF145" s="159">
        <v>7110</v>
      </c>
    </row>
    <row r="146" spans="4:58" x14ac:dyDescent="0.3">
      <c r="E146">
        <v>2100</v>
      </c>
      <c r="F146">
        <v>2300</v>
      </c>
      <c r="G146">
        <v>570</v>
      </c>
      <c r="H146" s="114">
        <v>22060</v>
      </c>
      <c r="I146" s="114">
        <v>24710</v>
      </c>
      <c r="J146" s="113"/>
      <c r="BC146" t="s">
        <v>807</v>
      </c>
      <c r="BD146" t="s">
        <v>723</v>
      </c>
      <c r="BE146" t="s">
        <v>724</v>
      </c>
      <c r="BF146" s="159">
        <v>5080</v>
      </c>
    </row>
    <row r="147" spans="4:58" x14ac:dyDescent="0.3">
      <c r="D147" t="s">
        <v>178</v>
      </c>
      <c r="E147">
        <v>1800</v>
      </c>
      <c r="F147">
        <v>2300</v>
      </c>
      <c r="G147">
        <v>570</v>
      </c>
      <c r="H147" s="114">
        <v>19300</v>
      </c>
      <c r="I147" s="114">
        <v>21620</v>
      </c>
      <c r="J147" s="113"/>
      <c r="BE147" t="s">
        <v>725</v>
      </c>
      <c r="BF147" s="159">
        <v>5430</v>
      </c>
    </row>
    <row r="148" spans="4:58" x14ac:dyDescent="0.3">
      <c r="E148">
        <v>2100</v>
      </c>
      <c r="F148">
        <v>2300</v>
      </c>
      <c r="G148">
        <v>570</v>
      </c>
      <c r="H148" s="114">
        <v>22060</v>
      </c>
      <c r="I148" s="114">
        <v>24710</v>
      </c>
      <c r="J148" s="113"/>
      <c r="BE148" t="s">
        <v>726</v>
      </c>
      <c r="BF148" s="159">
        <v>5680</v>
      </c>
    </row>
    <row r="149" spans="4:58" x14ac:dyDescent="0.3">
      <c r="D149" t="s">
        <v>179</v>
      </c>
      <c r="E149">
        <v>1800</v>
      </c>
      <c r="F149">
        <v>2300</v>
      </c>
      <c r="G149">
        <v>570</v>
      </c>
      <c r="H149" s="114">
        <v>19300</v>
      </c>
      <c r="I149" s="114">
        <v>21620</v>
      </c>
      <c r="J149" s="113"/>
      <c r="BE149" t="s">
        <v>727</v>
      </c>
      <c r="BF149" s="159">
        <v>6040</v>
      </c>
    </row>
    <row r="150" spans="4:58" x14ac:dyDescent="0.3">
      <c r="E150">
        <v>2100</v>
      </c>
      <c r="F150">
        <v>2300</v>
      </c>
      <c r="G150">
        <v>570</v>
      </c>
      <c r="H150" s="114">
        <v>22060</v>
      </c>
      <c r="I150" s="114">
        <v>24710</v>
      </c>
      <c r="J150" s="113"/>
      <c r="BD150" t="s">
        <v>728</v>
      </c>
      <c r="BE150" t="s">
        <v>724</v>
      </c>
      <c r="BF150" s="159">
        <v>5680</v>
      </c>
    </row>
    <row r="151" spans="4:58" x14ac:dyDescent="0.3">
      <c r="D151" t="s">
        <v>180</v>
      </c>
      <c r="E151">
        <v>1800</v>
      </c>
      <c r="F151">
        <v>2300</v>
      </c>
      <c r="G151">
        <v>570</v>
      </c>
      <c r="H151" s="114">
        <v>19300</v>
      </c>
      <c r="I151" s="114">
        <v>21620</v>
      </c>
      <c r="J151" s="113"/>
      <c r="BE151" t="s">
        <v>725</v>
      </c>
      <c r="BF151" s="159">
        <v>5800</v>
      </c>
    </row>
    <row r="152" spans="4:58" x14ac:dyDescent="0.3">
      <c r="E152">
        <v>2100</v>
      </c>
      <c r="F152">
        <v>2300</v>
      </c>
      <c r="G152">
        <v>570</v>
      </c>
      <c r="H152" s="114">
        <v>22060</v>
      </c>
      <c r="I152" s="114">
        <v>24710</v>
      </c>
      <c r="J152" s="113"/>
      <c r="BE152" t="s">
        <v>726</v>
      </c>
      <c r="BF152" s="159">
        <v>6040</v>
      </c>
    </row>
    <row r="153" spans="4:58" x14ac:dyDescent="0.3">
      <c r="D153" t="s">
        <v>181</v>
      </c>
      <c r="E153">
        <v>1800</v>
      </c>
      <c r="F153">
        <v>2300</v>
      </c>
      <c r="G153">
        <v>570</v>
      </c>
      <c r="H153" s="114">
        <v>19300</v>
      </c>
      <c r="I153" s="114">
        <v>21620</v>
      </c>
      <c r="J153" s="113"/>
      <c r="BE153" t="s">
        <v>727</v>
      </c>
      <c r="BF153" s="159">
        <v>6640</v>
      </c>
    </row>
    <row r="154" spans="4:58" x14ac:dyDescent="0.3">
      <c r="E154">
        <v>2100</v>
      </c>
      <c r="F154">
        <v>2300</v>
      </c>
      <c r="G154">
        <v>570</v>
      </c>
      <c r="H154" s="114">
        <v>22060</v>
      </c>
      <c r="I154" s="114">
        <v>24710</v>
      </c>
      <c r="J154" s="113"/>
      <c r="BD154" t="s">
        <v>729</v>
      </c>
      <c r="BE154" t="s">
        <v>725</v>
      </c>
      <c r="BF154" s="159">
        <v>6040</v>
      </c>
    </row>
    <row r="155" spans="4:58" x14ac:dyDescent="0.3">
      <c r="D155" t="s">
        <v>182</v>
      </c>
      <c r="E155">
        <v>1800</v>
      </c>
      <c r="F155">
        <v>2300</v>
      </c>
      <c r="G155">
        <v>570</v>
      </c>
      <c r="H155" s="114">
        <v>19300</v>
      </c>
      <c r="I155" s="114">
        <v>21620</v>
      </c>
      <c r="J155" s="113"/>
      <c r="BE155" t="s">
        <v>726</v>
      </c>
      <c r="BF155" s="159">
        <v>6390</v>
      </c>
    </row>
    <row r="156" spans="4:58" x14ac:dyDescent="0.3">
      <c r="E156">
        <v>2100</v>
      </c>
      <c r="F156">
        <v>2300</v>
      </c>
      <c r="G156">
        <v>570</v>
      </c>
      <c r="H156" s="114">
        <v>22060</v>
      </c>
      <c r="I156" s="114">
        <v>24710</v>
      </c>
      <c r="J156" s="113"/>
      <c r="BE156" t="s">
        <v>727</v>
      </c>
      <c r="BF156" s="159">
        <v>7110</v>
      </c>
    </row>
    <row r="157" spans="4:58" x14ac:dyDescent="0.3">
      <c r="D157" t="s">
        <v>183</v>
      </c>
      <c r="E157">
        <v>1800</v>
      </c>
      <c r="F157">
        <v>2300</v>
      </c>
      <c r="G157">
        <v>570</v>
      </c>
      <c r="H157" s="114">
        <v>19300</v>
      </c>
      <c r="I157" s="114">
        <v>21620</v>
      </c>
      <c r="J157" s="113"/>
      <c r="BC157" t="s">
        <v>808</v>
      </c>
      <c r="BD157" t="s">
        <v>723</v>
      </c>
      <c r="BE157" t="s">
        <v>724</v>
      </c>
      <c r="BF157" s="159">
        <v>5080</v>
      </c>
    </row>
    <row r="158" spans="4:58" x14ac:dyDescent="0.3">
      <c r="E158">
        <v>2100</v>
      </c>
      <c r="F158">
        <v>2300</v>
      </c>
      <c r="G158">
        <v>570</v>
      </c>
      <c r="H158" s="114">
        <v>22060</v>
      </c>
      <c r="I158" s="114">
        <v>24710</v>
      </c>
      <c r="J158" s="113"/>
      <c r="BE158" t="s">
        <v>725</v>
      </c>
      <c r="BF158" s="159">
        <v>5430</v>
      </c>
    </row>
    <row r="159" spans="4:58" x14ac:dyDescent="0.3">
      <c r="D159" t="s">
        <v>184</v>
      </c>
      <c r="E159">
        <v>1800</v>
      </c>
      <c r="F159">
        <v>2300</v>
      </c>
      <c r="G159">
        <v>570</v>
      </c>
      <c r="H159" s="114">
        <v>19300</v>
      </c>
      <c r="I159" s="114">
        <v>21620</v>
      </c>
      <c r="J159" s="113"/>
      <c r="BE159" t="s">
        <v>726</v>
      </c>
      <c r="BF159" s="159">
        <v>5680</v>
      </c>
    </row>
    <row r="160" spans="4:58" x14ac:dyDescent="0.3">
      <c r="E160">
        <v>2100</v>
      </c>
      <c r="F160">
        <v>2300</v>
      </c>
      <c r="G160">
        <v>570</v>
      </c>
      <c r="H160" s="114">
        <v>22060</v>
      </c>
      <c r="I160" s="114">
        <v>24710</v>
      </c>
      <c r="J160" s="113"/>
      <c r="BE160" t="s">
        <v>727</v>
      </c>
      <c r="BF160" s="159">
        <v>6040</v>
      </c>
    </row>
    <row r="161" spans="4:58" x14ac:dyDescent="0.3">
      <c r="D161" t="s">
        <v>185</v>
      </c>
      <c r="E161">
        <v>1800</v>
      </c>
      <c r="F161">
        <v>2300</v>
      </c>
      <c r="G161">
        <v>570</v>
      </c>
      <c r="H161" s="114">
        <v>19300</v>
      </c>
      <c r="I161" s="114">
        <v>21620</v>
      </c>
      <c r="J161" s="113"/>
      <c r="BD161" t="s">
        <v>728</v>
      </c>
      <c r="BE161" t="s">
        <v>724</v>
      </c>
      <c r="BF161" s="159">
        <v>5680</v>
      </c>
    </row>
    <row r="162" spans="4:58" x14ac:dyDescent="0.3">
      <c r="E162">
        <v>2100</v>
      </c>
      <c r="F162">
        <v>2300</v>
      </c>
      <c r="G162">
        <v>570</v>
      </c>
      <c r="H162" s="114">
        <v>22060</v>
      </c>
      <c r="I162" s="114">
        <v>24710</v>
      </c>
      <c r="J162" s="113"/>
      <c r="BE162" t="s">
        <v>725</v>
      </c>
      <c r="BF162" s="159">
        <v>5800</v>
      </c>
    </row>
    <row r="163" spans="4:58" x14ac:dyDescent="0.3">
      <c r="D163" t="s">
        <v>917</v>
      </c>
      <c r="E163">
        <v>1800</v>
      </c>
      <c r="F163">
        <v>2300</v>
      </c>
      <c r="G163">
        <v>570</v>
      </c>
      <c r="H163" s="114">
        <v>19300</v>
      </c>
      <c r="I163" s="114">
        <v>21620</v>
      </c>
      <c r="J163" s="113"/>
      <c r="BE163" t="s">
        <v>726</v>
      </c>
      <c r="BF163" s="159">
        <v>6040</v>
      </c>
    </row>
    <row r="164" spans="4:58" x14ac:dyDescent="0.3">
      <c r="E164">
        <v>2100</v>
      </c>
      <c r="F164">
        <v>2300</v>
      </c>
      <c r="G164">
        <v>570</v>
      </c>
      <c r="H164" s="114">
        <v>45200</v>
      </c>
      <c r="I164" s="114">
        <v>47850</v>
      </c>
      <c r="J164" s="113"/>
      <c r="BE164" t="s">
        <v>727</v>
      </c>
      <c r="BF164" s="159">
        <v>6640</v>
      </c>
    </row>
    <row r="165" spans="4:58" x14ac:dyDescent="0.3">
      <c r="D165" t="s">
        <v>918</v>
      </c>
      <c r="E165">
        <v>1800</v>
      </c>
      <c r="F165">
        <v>2300</v>
      </c>
      <c r="G165">
        <v>570</v>
      </c>
      <c r="H165" s="114">
        <v>19300</v>
      </c>
      <c r="I165" s="114">
        <v>21620</v>
      </c>
      <c r="J165" s="113"/>
      <c r="BD165" t="s">
        <v>729</v>
      </c>
      <c r="BE165" t="s">
        <v>725</v>
      </c>
      <c r="BF165" s="159">
        <v>6040</v>
      </c>
    </row>
    <row r="166" spans="4:58" x14ac:dyDescent="0.3">
      <c r="E166">
        <v>2100</v>
      </c>
      <c r="F166">
        <v>2300</v>
      </c>
      <c r="G166">
        <v>570</v>
      </c>
      <c r="H166" s="114">
        <v>45200</v>
      </c>
      <c r="I166" s="114">
        <v>47850</v>
      </c>
      <c r="J166" s="113"/>
      <c r="BE166" t="s">
        <v>726</v>
      </c>
      <c r="BF166" s="159">
        <v>6390</v>
      </c>
    </row>
    <row r="167" spans="4:58" x14ac:dyDescent="0.3">
      <c r="D167" t="s">
        <v>919</v>
      </c>
      <c r="E167">
        <v>1800</v>
      </c>
      <c r="F167">
        <v>2300</v>
      </c>
      <c r="G167">
        <v>570</v>
      </c>
      <c r="H167" s="114">
        <v>19300</v>
      </c>
      <c r="I167" s="114">
        <v>21620</v>
      </c>
      <c r="J167" s="113"/>
      <c r="BE167" t="s">
        <v>727</v>
      </c>
      <c r="BF167" s="159">
        <v>7110</v>
      </c>
    </row>
    <row r="168" spans="4:58" x14ac:dyDescent="0.3">
      <c r="E168">
        <v>2100</v>
      </c>
      <c r="F168">
        <v>2300</v>
      </c>
      <c r="G168">
        <v>570</v>
      </c>
      <c r="H168" s="114">
        <v>45200</v>
      </c>
      <c r="I168" s="114">
        <v>47850</v>
      </c>
      <c r="J168" s="113"/>
      <c r="BB168" t="s">
        <v>741</v>
      </c>
      <c r="BC168" t="s">
        <v>742</v>
      </c>
      <c r="BD168" t="s">
        <v>707</v>
      </c>
      <c r="BE168" t="s">
        <v>743</v>
      </c>
      <c r="BF168" s="159">
        <v>1860</v>
      </c>
    </row>
    <row r="169" spans="4:58" x14ac:dyDescent="0.3">
      <c r="D169" t="s">
        <v>922</v>
      </c>
      <c r="E169">
        <v>1800</v>
      </c>
      <c r="F169">
        <v>2300</v>
      </c>
      <c r="G169">
        <v>570</v>
      </c>
      <c r="H169" s="114">
        <v>62520</v>
      </c>
      <c r="I169" s="114">
        <v>64840</v>
      </c>
      <c r="J169" s="113"/>
      <c r="BE169" t="s">
        <v>744</v>
      </c>
      <c r="BF169" s="159">
        <v>2200</v>
      </c>
    </row>
    <row r="170" spans="4:58" x14ac:dyDescent="0.3">
      <c r="E170">
        <v>2100</v>
      </c>
      <c r="F170">
        <v>2300</v>
      </c>
      <c r="G170">
        <v>570</v>
      </c>
      <c r="H170" s="114">
        <v>45200</v>
      </c>
      <c r="I170" s="114">
        <v>47850</v>
      </c>
      <c r="J170" s="113"/>
      <c r="BE170" t="s">
        <v>745</v>
      </c>
      <c r="BF170" s="159">
        <v>2530</v>
      </c>
    </row>
    <row r="171" spans="4:58" x14ac:dyDescent="0.3">
      <c r="D171" t="s">
        <v>923</v>
      </c>
      <c r="E171">
        <v>1800</v>
      </c>
      <c r="F171">
        <v>2300</v>
      </c>
      <c r="G171">
        <v>570</v>
      </c>
      <c r="H171" s="114">
        <v>62520</v>
      </c>
      <c r="I171" s="114">
        <v>64840</v>
      </c>
      <c r="J171" s="113"/>
      <c r="BE171" t="s">
        <v>746</v>
      </c>
      <c r="BF171" s="159">
        <v>2890</v>
      </c>
    </row>
    <row r="172" spans="4:58" x14ac:dyDescent="0.3">
      <c r="E172">
        <v>2100</v>
      </c>
      <c r="F172">
        <v>2300</v>
      </c>
      <c r="G172">
        <v>570</v>
      </c>
      <c r="H172" s="114">
        <v>45200</v>
      </c>
      <c r="I172" s="114">
        <v>47850</v>
      </c>
      <c r="J172" s="113"/>
      <c r="BE172" t="s">
        <v>747</v>
      </c>
      <c r="BF172" s="159">
        <v>3230</v>
      </c>
    </row>
    <row r="173" spans="4:58" x14ac:dyDescent="0.3">
      <c r="D173" t="s">
        <v>924</v>
      </c>
      <c r="E173">
        <v>1800</v>
      </c>
      <c r="F173">
        <v>2300</v>
      </c>
      <c r="G173">
        <v>570</v>
      </c>
      <c r="H173" s="114">
        <v>62520</v>
      </c>
      <c r="I173" s="114">
        <v>64840</v>
      </c>
      <c r="J173" s="113"/>
      <c r="BE173" t="s">
        <v>748</v>
      </c>
      <c r="BF173" s="159">
        <v>4150</v>
      </c>
    </row>
    <row r="174" spans="4:58" x14ac:dyDescent="0.3">
      <c r="E174">
        <v>2100</v>
      </c>
      <c r="F174">
        <v>2300</v>
      </c>
      <c r="G174">
        <v>570</v>
      </c>
      <c r="H174" s="114">
        <v>45200</v>
      </c>
      <c r="I174" s="114">
        <v>47850</v>
      </c>
      <c r="J174" s="113"/>
      <c r="BC174" t="s">
        <v>749</v>
      </c>
      <c r="BD174" t="s">
        <v>707</v>
      </c>
      <c r="BE174" t="s">
        <v>743</v>
      </c>
      <c r="BF174" s="159">
        <v>1860</v>
      </c>
    </row>
    <row r="175" spans="4:58" x14ac:dyDescent="0.3">
      <c r="D175" t="s">
        <v>925</v>
      </c>
      <c r="E175">
        <v>1800</v>
      </c>
      <c r="F175">
        <v>2300</v>
      </c>
      <c r="G175">
        <v>570</v>
      </c>
      <c r="H175" s="114">
        <v>40910</v>
      </c>
      <c r="I175" s="114">
        <v>43230</v>
      </c>
      <c r="J175" s="113"/>
      <c r="BE175" t="s">
        <v>744</v>
      </c>
      <c r="BF175" s="159">
        <v>2200</v>
      </c>
    </row>
    <row r="176" spans="4:58" x14ac:dyDescent="0.3">
      <c r="E176">
        <v>2100</v>
      </c>
      <c r="F176">
        <v>2300</v>
      </c>
      <c r="G176">
        <v>570</v>
      </c>
      <c r="H176" s="114">
        <v>45200</v>
      </c>
      <c r="I176" s="114">
        <v>47850</v>
      </c>
      <c r="J176" s="113"/>
      <c r="BE176" t="s">
        <v>745</v>
      </c>
      <c r="BF176" s="159">
        <v>2530</v>
      </c>
    </row>
    <row r="177" spans="4:58" x14ac:dyDescent="0.3">
      <c r="D177" t="s">
        <v>926</v>
      </c>
      <c r="E177">
        <v>1800</v>
      </c>
      <c r="F177">
        <v>2300</v>
      </c>
      <c r="G177">
        <v>570</v>
      </c>
      <c r="H177" s="114">
        <v>40910</v>
      </c>
      <c r="I177" s="114">
        <v>43230</v>
      </c>
      <c r="J177" s="113"/>
      <c r="BE177" t="s">
        <v>746</v>
      </c>
      <c r="BF177" s="159">
        <v>2890</v>
      </c>
    </row>
    <row r="178" spans="4:58" x14ac:dyDescent="0.3">
      <c r="E178">
        <v>2100</v>
      </c>
      <c r="F178">
        <v>2300</v>
      </c>
      <c r="G178">
        <v>570</v>
      </c>
      <c r="H178" s="114">
        <v>45200</v>
      </c>
      <c r="I178" s="114">
        <v>47850</v>
      </c>
      <c r="J178" s="113"/>
      <c r="BE178" t="s">
        <v>747</v>
      </c>
      <c r="BF178" s="159">
        <v>3230</v>
      </c>
    </row>
    <row r="179" spans="4:58" x14ac:dyDescent="0.3">
      <c r="D179" t="s">
        <v>933</v>
      </c>
      <c r="E179">
        <v>1800</v>
      </c>
      <c r="F179">
        <v>2300</v>
      </c>
      <c r="G179">
        <v>570</v>
      </c>
      <c r="H179" s="114">
        <v>34440</v>
      </c>
      <c r="I179" s="114"/>
      <c r="J179" s="113"/>
      <c r="BE179" t="s">
        <v>748</v>
      </c>
      <c r="BF179" s="159">
        <v>4150</v>
      </c>
    </row>
    <row r="180" spans="4:58" x14ac:dyDescent="0.3">
      <c r="E180">
        <v>2100</v>
      </c>
      <c r="F180">
        <v>2300</v>
      </c>
      <c r="G180">
        <v>570</v>
      </c>
      <c r="H180" s="114">
        <v>38250</v>
      </c>
      <c r="I180" s="114"/>
      <c r="J180" s="113"/>
      <c r="BC180" t="s">
        <v>750</v>
      </c>
      <c r="BD180" t="s">
        <v>707</v>
      </c>
      <c r="BE180" t="s">
        <v>743</v>
      </c>
      <c r="BF180" s="159">
        <v>1750</v>
      </c>
    </row>
    <row r="181" spans="4:58" x14ac:dyDescent="0.3">
      <c r="D181" t="s">
        <v>934</v>
      </c>
      <c r="E181">
        <v>1800</v>
      </c>
      <c r="F181">
        <v>2300</v>
      </c>
      <c r="G181">
        <v>570</v>
      </c>
      <c r="H181" s="114">
        <v>30820</v>
      </c>
      <c r="I181" s="114"/>
      <c r="J181" s="113"/>
      <c r="BE181" t="s">
        <v>744</v>
      </c>
      <c r="BF181" s="159">
        <v>1970</v>
      </c>
    </row>
    <row r="182" spans="4:58" x14ac:dyDescent="0.3">
      <c r="E182">
        <v>2100</v>
      </c>
      <c r="F182">
        <v>2300</v>
      </c>
      <c r="G182">
        <v>570</v>
      </c>
      <c r="H182" s="114">
        <v>34510</v>
      </c>
      <c r="I182" s="114"/>
      <c r="J182" s="113"/>
      <c r="BE182" t="s">
        <v>745</v>
      </c>
      <c r="BF182" s="159">
        <v>2310</v>
      </c>
    </row>
    <row r="183" spans="4:58" x14ac:dyDescent="0.3">
      <c r="D183" t="s">
        <v>935</v>
      </c>
      <c r="E183">
        <v>1800</v>
      </c>
      <c r="F183">
        <v>2300</v>
      </c>
      <c r="G183">
        <v>570</v>
      </c>
      <c r="H183" s="114">
        <v>32630</v>
      </c>
      <c r="I183" s="114"/>
      <c r="J183" s="113"/>
      <c r="BE183" t="s">
        <v>746</v>
      </c>
      <c r="BF183" s="159">
        <v>2530</v>
      </c>
    </row>
    <row r="184" spans="4:58" x14ac:dyDescent="0.3">
      <c r="E184">
        <v>2100</v>
      </c>
      <c r="F184">
        <v>2300</v>
      </c>
      <c r="G184">
        <v>570</v>
      </c>
      <c r="H184" s="114">
        <v>36380</v>
      </c>
      <c r="I184" s="114"/>
      <c r="J184" s="113"/>
      <c r="BE184" t="s">
        <v>747</v>
      </c>
      <c r="BF184" s="159">
        <v>3000</v>
      </c>
    </row>
    <row r="185" spans="4:58" x14ac:dyDescent="0.3">
      <c r="D185" t="s">
        <v>954</v>
      </c>
      <c r="E185">
        <v>1800</v>
      </c>
      <c r="F185">
        <v>2300</v>
      </c>
      <c r="G185">
        <v>570</v>
      </c>
      <c r="H185" s="114">
        <v>37540</v>
      </c>
      <c r="I185" s="114"/>
      <c r="J185" s="113"/>
      <c r="BE185" t="s">
        <v>748</v>
      </c>
      <c r="BF185" s="159">
        <v>3810</v>
      </c>
    </row>
    <row r="186" spans="4:58" x14ac:dyDescent="0.3">
      <c r="E186">
        <v>2100</v>
      </c>
      <c r="F186">
        <v>2300</v>
      </c>
      <c r="G186">
        <v>570</v>
      </c>
      <c r="H186" s="114">
        <v>41650</v>
      </c>
      <c r="I186" s="114"/>
      <c r="J186" s="113"/>
      <c r="BC186" t="s">
        <v>815</v>
      </c>
      <c r="BD186" t="s">
        <v>703</v>
      </c>
      <c r="BE186" t="s">
        <v>743</v>
      </c>
      <c r="BF186" s="159">
        <v>1860</v>
      </c>
    </row>
    <row r="187" spans="4:58" x14ac:dyDescent="0.3">
      <c r="D187" t="s">
        <v>955</v>
      </c>
      <c r="E187">
        <v>1800</v>
      </c>
      <c r="F187">
        <v>2300</v>
      </c>
      <c r="G187">
        <v>570</v>
      </c>
      <c r="H187" s="114">
        <v>37540</v>
      </c>
      <c r="I187" s="114"/>
      <c r="J187" s="113"/>
      <c r="BE187" t="s">
        <v>744</v>
      </c>
      <c r="BF187" s="159">
        <v>2200</v>
      </c>
    </row>
    <row r="188" spans="4:58" x14ac:dyDescent="0.3">
      <c r="E188">
        <v>2100</v>
      </c>
      <c r="F188">
        <v>2300</v>
      </c>
      <c r="G188">
        <v>570</v>
      </c>
      <c r="H188" s="114">
        <v>41650</v>
      </c>
      <c r="I188" s="114"/>
      <c r="J188" s="113"/>
      <c r="BE188" t="s">
        <v>745</v>
      </c>
      <c r="BF188" s="159">
        <v>2530</v>
      </c>
    </row>
    <row r="189" spans="4:58" x14ac:dyDescent="0.3">
      <c r="D189" t="s">
        <v>956</v>
      </c>
      <c r="E189">
        <v>1800</v>
      </c>
      <c r="F189">
        <v>2300</v>
      </c>
      <c r="G189">
        <v>570</v>
      </c>
      <c r="H189" s="114">
        <v>37540</v>
      </c>
      <c r="I189" s="114"/>
      <c r="J189" s="113"/>
      <c r="BE189" t="s">
        <v>746</v>
      </c>
      <c r="BF189" s="159">
        <v>2890</v>
      </c>
    </row>
    <row r="190" spans="4:58" x14ac:dyDescent="0.3">
      <c r="E190">
        <v>2100</v>
      </c>
      <c r="F190">
        <v>2300</v>
      </c>
      <c r="G190">
        <v>570</v>
      </c>
      <c r="H190" s="114">
        <v>41650</v>
      </c>
      <c r="I190" s="114"/>
      <c r="J190" s="113"/>
      <c r="BE190" t="s">
        <v>747</v>
      </c>
      <c r="BF190" s="159">
        <v>3230</v>
      </c>
    </row>
    <row r="191" spans="4:58" x14ac:dyDescent="0.3">
      <c r="D191" t="s">
        <v>957</v>
      </c>
      <c r="E191">
        <v>1800</v>
      </c>
      <c r="F191">
        <v>2300</v>
      </c>
      <c r="G191">
        <v>570</v>
      </c>
      <c r="H191" s="114">
        <v>37540</v>
      </c>
      <c r="I191" s="114"/>
      <c r="J191" s="113"/>
      <c r="BE191" t="s">
        <v>748</v>
      </c>
      <c r="BF191" s="159">
        <v>4150</v>
      </c>
    </row>
    <row r="192" spans="4:58" x14ac:dyDescent="0.3">
      <c r="E192">
        <v>2100</v>
      </c>
      <c r="F192">
        <v>2300</v>
      </c>
      <c r="G192">
        <v>570</v>
      </c>
      <c r="H192" s="114">
        <v>41650</v>
      </c>
      <c r="I192" s="114"/>
      <c r="J192" s="113"/>
    </row>
    <row r="193" spans="2:10" x14ac:dyDescent="0.3">
      <c r="D193" t="s">
        <v>958</v>
      </c>
      <c r="E193">
        <v>1800</v>
      </c>
      <c r="F193">
        <v>2300</v>
      </c>
      <c r="G193">
        <v>570</v>
      </c>
      <c r="H193" s="114">
        <v>37540</v>
      </c>
      <c r="I193" s="114"/>
      <c r="J193" s="113"/>
    </row>
    <row r="194" spans="2:10" x14ac:dyDescent="0.3">
      <c r="E194">
        <v>2100</v>
      </c>
      <c r="F194">
        <v>2300</v>
      </c>
      <c r="G194">
        <v>570</v>
      </c>
      <c r="H194" s="114">
        <v>41650</v>
      </c>
      <c r="I194" s="114"/>
      <c r="J194" s="113"/>
    </row>
    <row r="195" spans="2:10" x14ac:dyDescent="0.3">
      <c r="D195" t="s">
        <v>959</v>
      </c>
      <c r="E195">
        <v>1800</v>
      </c>
      <c r="F195">
        <v>2300</v>
      </c>
      <c r="G195">
        <v>570</v>
      </c>
      <c r="H195" s="114">
        <v>34180</v>
      </c>
      <c r="I195" s="114"/>
      <c r="J195" s="113"/>
    </row>
    <row r="196" spans="2:10" x14ac:dyDescent="0.3">
      <c r="E196">
        <v>2100</v>
      </c>
      <c r="F196">
        <v>2300</v>
      </c>
      <c r="G196">
        <v>570</v>
      </c>
      <c r="H196" s="114">
        <v>38080</v>
      </c>
      <c r="I196" s="114"/>
      <c r="J196" s="113"/>
    </row>
    <row r="197" spans="2:10" x14ac:dyDescent="0.3">
      <c r="D197" t="s">
        <v>960</v>
      </c>
      <c r="E197">
        <v>1800</v>
      </c>
      <c r="F197">
        <v>2300</v>
      </c>
      <c r="G197">
        <v>570</v>
      </c>
      <c r="H197" s="114">
        <v>34180</v>
      </c>
      <c r="I197" s="114"/>
      <c r="J197" s="113"/>
    </row>
    <row r="198" spans="2:10" x14ac:dyDescent="0.3">
      <c r="E198">
        <v>2100</v>
      </c>
      <c r="F198">
        <v>2300</v>
      </c>
      <c r="G198">
        <v>570</v>
      </c>
      <c r="H198" s="114">
        <v>38080</v>
      </c>
      <c r="I198" s="114"/>
      <c r="J198" s="113"/>
    </row>
    <row r="199" spans="2:10" x14ac:dyDescent="0.3">
      <c r="D199" t="s">
        <v>961</v>
      </c>
      <c r="E199">
        <v>1800</v>
      </c>
      <c r="F199">
        <v>2300</v>
      </c>
      <c r="G199">
        <v>570</v>
      </c>
      <c r="H199" s="114">
        <v>34180</v>
      </c>
      <c r="I199" s="114"/>
      <c r="J199" s="113"/>
    </row>
    <row r="200" spans="2:10" x14ac:dyDescent="0.3">
      <c r="E200">
        <v>2100</v>
      </c>
      <c r="F200">
        <v>2300</v>
      </c>
      <c r="G200">
        <v>570</v>
      </c>
      <c r="H200" s="114">
        <v>38080</v>
      </c>
      <c r="I200" s="114"/>
      <c r="J200" s="113"/>
    </row>
    <row r="201" spans="2:10" x14ac:dyDescent="0.3">
      <c r="D201" t="s">
        <v>962</v>
      </c>
      <c r="E201">
        <v>1800</v>
      </c>
      <c r="F201">
        <v>2300</v>
      </c>
      <c r="G201">
        <v>570</v>
      </c>
      <c r="H201" s="114">
        <v>34180</v>
      </c>
      <c r="I201" s="114"/>
      <c r="J201" s="113"/>
    </row>
    <row r="202" spans="2:10" x14ac:dyDescent="0.3">
      <c r="E202">
        <v>2100</v>
      </c>
      <c r="F202">
        <v>2300</v>
      </c>
      <c r="G202">
        <v>570</v>
      </c>
      <c r="H202" s="114">
        <v>38080</v>
      </c>
      <c r="I202" s="114"/>
      <c r="J202" s="113"/>
    </row>
    <row r="203" spans="2:10" x14ac:dyDescent="0.3">
      <c r="D203" t="s">
        <v>963</v>
      </c>
      <c r="E203">
        <v>1800</v>
      </c>
      <c r="F203">
        <v>2300</v>
      </c>
      <c r="G203">
        <v>570</v>
      </c>
      <c r="H203" s="114">
        <v>34180</v>
      </c>
      <c r="I203" s="114"/>
      <c r="J203" s="113"/>
    </row>
    <row r="204" spans="2:10" x14ac:dyDescent="0.3">
      <c r="E204">
        <v>2100</v>
      </c>
      <c r="F204">
        <v>2300</v>
      </c>
      <c r="G204">
        <v>570</v>
      </c>
      <c r="H204" s="114">
        <v>38080</v>
      </c>
      <c r="I204" s="114"/>
      <c r="J204" s="113"/>
    </row>
    <row r="205" spans="2:10" x14ac:dyDescent="0.3">
      <c r="B205" t="s">
        <v>186</v>
      </c>
      <c r="C205" t="s">
        <v>816</v>
      </c>
      <c r="D205" t="s">
        <v>187</v>
      </c>
      <c r="E205">
        <v>2200</v>
      </c>
      <c r="F205">
        <v>2300</v>
      </c>
      <c r="G205">
        <v>570</v>
      </c>
      <c r="H205" s="114">
        <v>37460</v>
      </c>
      <c r="I205" s="114">
        <v>41700</v>
      </c>
      <c r="J205" s="113"/>
    </row>
    <row r="206" spans="2:10" x14ac:dyDescent="0.3">
      <c r="D206" t="s">
        <v>188</v>
      </c>
      <c r="E206">
        <v>2200</v>
      </c>
      <c r="F206">
        <v>2300</v>
      </c>
      <c r="G206">
        <v>570</v>
      </c>
      <c r="H206" s="114">
        <v>37460</v>
      </c>
      <c r="I206" s="114">
        <v>41700</v>
      </c>
      <c r="J206" s="113"/>
    </row>
    <row r="207" spans="2:10" x14ac:dyDescent="0.3">
      <c r="C207" t="s">
        <v>829</v>
      </c>
      <c r="D207" t="s">
        <v>189</v>
      </c>
      <c r="E207">
        <v>2400</v>
      </c>
      <c r="F207">
        <v>2300</v>
      </c>
      <c r="G207">
        <v>570</v>
      </c>
      <c r="H207" s="114">
        <v>46660</v>
      </c>
      <c r="I207" s="114">
        <v>49590</v>
      </c>
      <c r="J207" s="113"/>
    </row>
    <row r="208" spans="2:10" x14ac:dyDescent="0.3">
      <c r="D208" t="s">
        <v>190</v>
      </c>
      <c r="E208">
        <v>2400</v>
      </c>
      <c r="F208">
        <v>2300</v>
      </c>
      <c r="G208">
        <v>570</v>
      </c>
      <c r="H208" s="114">
        <v>43830</v>
      </c>
      <c r="I208" s="114">
        <v>47190</v>
      </c>
      <c r="J208" s="113"/>
    </row>
    <row r="209" spans="4:10" x14ac:dyDescent="0.3">
      <c r="D209" t="s">
        <v>191</v>
      </c>
      <c r="E209">
        <v>2400</v>
      </c>
      <c r="F209">
        <v>2300</v>
      </c>
      <c r="G209">
        <v>570</v>
      </c>
      <c r="H209" s="114">
        <v>48210</v>
      </c>
      <c r="I209" s="114">
        <v>51140</v>
      </c>
      <c r="J209" s="113"/>
    </row>
    <row r="210" spans="4:10" x14ac:dyDescent="0.3">
      <c r="D210" t="s">
        <v>192</v>
      </c>
      <c r="E210">
        <v>2400</v>
      </c>
      <c r="F210">
        <v>2300</v>
      </c>
      <c r="G210">
        <v>570</v>
      </c>
      <c r="H210" s="114">
        <v>48210</v>
      </c>
      <c r="I210" s="114">
        <v>51140</v>
      </c>
      <c r="J210" s="113"/>
    </row>
    <row r="211" spans="4:10" x14ac:dyDescent="0.3">
      <c r="D211" t="s">
        <v>193</v>
      </c>
      <c r="E211">
        <v>2400</v>
      </c>
      <c r="F211">
        <v>2300</v>
      </c>
      <c r="G211">
        <v>570</v>
      </c>
      <c r="H211" s="114">
        <v>38170</v>
      </c>
      <c r="I211" s="114">
        <v>42390</v>
      </c>
      <c r="J211" s="113"/>
    </row>
    <row r="212" spans="4:10" x14ac:dyDescent="0.3">
      <c r="D212" t="s">
        <v>194</v>
      </c>
      <c r="E212">
        <v>2400</v>
      </c>
      <c r="F212">
        <v>2300</v>
      </c>
      <c r="G212">
        <v>570</v>
      </c>
      <c r="H212" s="114">
        <v>41000</v>
      </c>
      <c r="I212" s="114">
        <v>44790</v>
      </c>
      <c r="J212" s="113"/>
    </row>
    <row r="213" spans="4:10" x14ac:dyDescent="0.3">
      <c r="D213" t="s">
        <v>195</v>
      </c>
      <c r="E213">
        <v>2400</v>
      </c>
      <c r="F213">
        <v>2300</v>
      </c>
      <c r="G213">
        <v>570</v>
      </c>
      <c r="H213" s="114">
        <v>42550</v>
      </c>
      <c r="I213" s="114">
        <v>46340</v>
      </c>
      <c r="J213" s="113"/>
    </row>
    <row r="214" spans="4:10" x14ac:dyDescent="0.3">
      <c r="D214" t="s">
        <v>196</v>
      </c>
      <c r="E214">
        <v>2400</v>
      </c>
      <c r="F214">
        <v>2300</v>
      </c>
      <c r="G214">
        <v>570</v>
      </c>
      <c r="H214" s="114">
        <v>42550</v>
      </c>
      <c r="I214" s="114">
        <v>46340</v>
      </c>
      <c r="J214" s="113"/>
    </row>
    <row r="215" spans="4:10" x14ac:dyDescent="0.3">
      <c r="D215" t="s">
        <v>197</v>
      </c>
      <c r="E215">
        <v>2400</v>
      </c>
      <c r="F215">
        <v>2300</v>
      </c>
      <c r="G215">
        <v>570</v>
      </c>
      <c r="H215" s="114">
        <v>51310</v>
      </c>
      <c r="I215" s="114">
        <v>54240</v>
      </c>
      <c r="J215" s="113"/>
    </row>
    <row r="216" spans="4:10" x14ac:dyDescent="0.3">
      <c r="D216" t="s">
        <v>198</v>
      </c>
      <c r="E216">
        <v>2400</v>
      </c>
      <c r="F216">
        <v>2300</v>
      </c>
      <c r="G216">
        <v>570</v>
      </c>
      <c r="H216" s="114">
        <v>49760</v>
      </c>
      <c r="I216" s="114">
        <v>52690</v>
      </c>
      <c r="J216" s="113"/>
    </row>
    <row r="217" spans="4:10" x14ac:dyDescent="0.3">
      <c r="D217" t="s">
        <v>199</v>
      </c>
      <c r="E217">
        <v>2400</v>
      </c>
      <c r="F217">
        <v>2300</v>
      </c>
      <c r="G217">
        <v>570</v>
      </c>
      <c r="H217" s="114">
        <v>46930</v>
      </c>
      <c r="I217" s="114">
        <v>50290</v>
      </c>
      <c r="J217" s="113"/>
    </row>
    <row r="218" spans="4:10" x14ac:dyDescent="0.3">
      <c r="D218" t="s">
        <v>200</v>
      </c>
      <c r="E218">
        <v>2400</v>
      </c>
      <c r="F218">
        <v>2300</v>
      </c>
      <c r="G218">
        <v>570</v>
      </c>
      <c r="H218" s="114">
        <v>51310</v>
      </c>
      <c r="I218" s="114">
        <v>54240</v>
      </c>
      <c r="J218" s="113"/>
    </row>
    <row r="219" spans="4:10" x14ac:dyDescent="0.3">
      <c r="D219" t="s">
        <v>201</v>
      </c>
      <c r="E219">
        <v>2400</v>
      </c>
      <c r="F219">
        <v>2300</v>
      </c>
      <c r="G219">
        <v>570</v>
      </c>
      <c r="H219" s="114">
        <v>51310</v>
      </c>
      <c r="I219" s="114">
        <v>54240</v>
      </c>
      <c r="J219" s="113"/>
    </row>
    <row r="220" spans="4:10" x14ac:dyDescent="0.3">
      <c r="D220" t="s">
        <v>202</v>
      </c>
      <c r="E220">
        <v>2400</v>
      </c>
      <c r="F220">
        <v>2300</v>
      </c>
      <c r="G220">
        <v>570</v>
      </c>
      <c r="H220" s="114">
        <v>49760</v>
      </c>
      <c r="I220" s="114">
        <v>52690</v>
      </c>
      <c r="J220" s="113"/>
    </row>
    <row r="221" spans="4:10" x14ac:dyDescent="0.3">
      <c r="D221" t="s">
        <v>203</v>
      </c>
      <c r="E221">
        <v>2400</v>
      </c>
      <c r="F221">
        <v>2300</v>
      </c>
      <c r="G221">
        <v>570</v>
      </c>
      <c r="H221" s="114">
        <v>46930</v>
      </c>
      <c r="I221" s="114">
        <v>50290</v>
      </c>
      <c r="J221" s="113"/>
    </row>
    <row r="222" spans="4:10" x14ac:dyDescent="0.3">
      <c r="D222" t="s">
        <v>204</v>
      </c>
      <c r="E222">
        <v>2400</v>
      </c>
      <c r="F222">
        <v>2300</v>
      </c>
      <c r="G222">
        <v>570</v>
      </c>
      <c r="H222" s="114">
        <v>51310</v>
      </c>
      <c r="I222" s="114">
        <v>54240</v>
      </c>
      <c r="J222" s="113"/>
    </row>
    <row r="223" spans="4:10" x14ac:dyDescent="0.3">
      <c r="D223" t="s">
        <v>205</v>
      </c>
      <c r="E223">
        <v>2400</v>
      </c>
      <c r="F223">
        <v>2300</v>
      </c>
      <c r="G223">
        <v>570</v>
      </c>
      <c r="H223" s="114">
        <v>38890</v>
      </c>
      <c r="I223" s="114">
        <v>43200</v>
      </c>
      <c r="J223" s="113"/>
    </row>
    <row r="224" spans="4:10" x14ac:dyDescent="0.3">
      <c r="D224" t="s">
        <v>206</v>
      </c>
      <c r="E224">
        <v>2400</v>
      </c>
      <c r="F224">
        <v>2300</v>
      </c>
      <c r="G224">
        <v>570</v>
      </c>
      <c r="H224" s="114">
        <v>38890</v>
      </c>
      <c r="I224" s="114">
        <v>43200</v>
      </c>
      <c r="J224" s="113"/>
    </row>
    <row r="225" spans="4:10" x14ac:dyDescent="0.3">
      <c r="D225" t="s">
        <v>207</v>
      </c>
      <c r="E225">
        <v>2400</v>
      </c>
      <c r="F225">
        <v>2300</v>
      </c>
      <c r="G225">
        <v>570</v>
      </c>
      <c r="H225" s="114">
        <v>27550</v>
      </c>
      <c r="I225" s="114">
        <v>30480</v>
      </c>
      <c r="J225" s="113"/>
    </row>
    <row r="226" spans="4:10" x14ac:dyDescent="0.3">
      <c r="D226" t="s">
        <v>208</v>
      </c>
      <c r="E226">
        <v>2400</v>
      </c>
      <c r="F226">
        <v>2300</v>
      </c>
      <c r="G226">
        <v>570</v>
      </c>
      <c r="H226" s="114">
        <v>27550</v>
      </c>
      <c r="I226" s="114">
        <v>30480</v>
      </c>
      <c r="J226" s="113"/>
    </row>
    <row r="227" spans="4:10" x14ac:dyDescent="0.3">
      <c r="D227" t="s">
        <v>209</v>
      </c>
      <c r="E227">
        <v>2400</v>
      </c>
      <c r="F227">
        <v>2300</v>
      </c>
      <c r="G227">
        <v>570</v>
      </c>
      <c r="H227" s="114">
        <v>27550</v>
      </c>
      <c r="I227" s="114">
        <v>30480</v>
      </c>
      <c r="J227" s="113"/>
    </row>
    <row r="228" spans="4:10" x14ac:dyDescent="0.3">
      <c r="D228" t="s">
        <v>210</v>
      </c>
      <c r="E228">
        <v>2400</v>
      </c>
      <c r="F228">
        <v>2300</v>
      </c>
      <c r="G228">
        <v>570</v>
      </c>
      <c r="H228" s="114">
        <v>27550</v>
      </c>
      <c r="I228" s="114">
        <v>30480</v>
      </c>
      <c r="J228" s="113"/>
    </row>
    <row r="229" spans="4:10" x14ac:dyDescent="0.3">
      <c r="D229" t="s">
        <v>211</v>
      </c>
      <c r="E229">
        <v>2400</v>
      </c>
      <c r="F229">
        <v>2300</v>
      </c>
      <c r="G229">
        <v>570</v>
      </c>
      <c r="H229" s="114">
        <v>27550</v>
      </c>
      <c r="I229" s="114">
        <v>30480</v>
      </c>
      <c r="J229" s="113"/>
    </row>
    <row r="230" spans="4:10" x14ac:dyDescent="0.3">
      <c r="D230" t="s">
        <v>212</v>
      </c>
      <c r="E230">
        <v>2400</v>
      </c>
      <c r="F230">
        <v>2300</v>
      </c>
      <c r="G230">
        <v>570</v>
      </c>
      <c r="H230" s="114">
        <v>27550</v>
      </c>
      <c r="I230" s="114">
        <v>30480</v>
      </c>
      <c r="J230" s="113"/>
    </row>
    <row r="231" spans="4:10" x14ac:dyDescent="0.3">
      <c r="D231" t="s">
        <v>213</v>
      </c>
      <c r="E231">
        <v>2400</v>
      </c>
      <c r="F231">
        <v>2300</v>
      </c>
      <c r="G231">
        <v>570</v>
      </c>
      <c r="H231" s="114">
        <v>27550</v>
      </c>
      <c r="I231" s="114">
        <v>30480</v>
      </c>
      <c r="J231" s="113"/>
    </row>
    <row r="232" spans="4:10" x14ac:dyDescent="0.3">
      <c r="D232" t="s">
        <v>214</v>
      </c>
      <c r="E232">
        <v>2400</v>
      </c>
      <c r="F232">
        <v>2300</v>
      </c>
      <c r="G232">
        <v>570</v>
      </c>
      <c r="H232" s="114">
        <v>27550</v>
      </c>
      <c r="I232" s="114">
        <v>30480</v>
      </c>
      <c r="J232" s="113"/>
    </row>
    <row r="233" spans="4:10" x14ac:dyDescent="0.3">
      <c r="D233" t="s">
        <v>215</v>
      </c>
      <c r="E233">
        <v>2400</v>
      </c>
      <c r="F233">
        <v>2300</v>
      </c>
      <c r="G233">
        <v>570</v>
      </c>
      <c r="H233" s="114">
        <v>27550</v>
      </c>
      <c r="I233" s="114">
        <v>30480</v>
      </c>
      <c r="J233" s="113"/>
    </row>
    <row r="234" spans="4:10" x14ac:dyDescent="0.3">
      <c r="D234" t="s">
        <v>216</v>
      </c>
      <c r="E234">
        <v>2400</v>
      </c>
      <c r="F234">
        <v>2300</v>
      </c>
      <c r="G234">
        <v>570</v>
      </c>
      <c r="H234" s="114">
        <v>27550</v>
      </c>
      <c r="I234" s="114">
        <v>30480</v>
      </c>
      <c r="J234" s="113"/>
    </row>
    <row r="235" spans="4:10" x14ac:dyDescent="0.3">
      <c r="D235" t="s">
        <v>217</v>
      </c>
      <c r="E235">
        <v>2400</v>
      </c>
      <c r="F235">
        <v>2300</v>
      </c>
      <c r="G235">
        <v>570</v>
      </c>
      <c r="H235" s="114">
        <v>27550</v>
      </c>
      <c r="I235" s="114">
        <v>30480</v>
      </c>
      <c r="J235" s="113"/>
    </row>
    <row r="236" spans="4:10" x14ac:dyDescent="0.3">
      <c r="D236" t="s">
        <v>218</v>
      </c>
      <c r="E236">
        <v>2400</v>
      </c>
      <c r="F236">
        <v>2300</v>
      </c>
      <c r="G236">
        <v>570</v>
      </c>
      <c r="H236" s="114">
        <v>27550</v>
      </c>
      <c r="I236" s="114">
        <v>30480</v>
      </c>
      <c r="J236" s="113"/>
    </row>
    <row r="237" spans="4:10" x14ac:dyDescent="0.3">
      <c r="D237" t="s">
        <v>936</v>
      </c>
      <c r="E237">
        <v>2400</v>
      </c>
      <c r="F237">
        <v>2300</v>
      </c>
      <c r="G237">
        <v>570</v>
      </c>
      <c r="H237" s="114">
        <v>41730</v>
      </c>
      <c r="I237" s="114"/>
      <c r="J237" s="113"/>
    </row>
    <row r="238" spans="4:10" x14ac:dyDescent="0.3">
      <c r="D238" t="s">
        <v>937</v>
      </c>
      <c r="E238">
        <v>2400</v>
      </c>
      <c r="F238">
        <v>2300</v>
      </c>
      <c r="G238">
        <v>570</v>
      </c>
      <c r="H238" s="114">
        <v>38190</v>
      </c>
      <c r="I238" s="114"/>
      <c r="J238" s="113"/>
    </row>
    <row r="239" spans="4:10" x14ac:dyDescent="0.3">
      <c r="D239" t="s">
        <v>938</v>
      </c>
      <c r="E239">
        <v>2400</v>
      </c>
      <c r="F239">
        <v>2300</v>
      </c>
      <c r="G239">
        <v>570</v>
      </c>
      <c r="H239" s="114">
        <v>39960</v>
      </c>
      <c r="I239" s="114"/>
      <c r="J239" s="113"/>
    </row>
    <row r="240" spans="4:10" x14ac:dyDescent="0.3">
      <c r="D240" t="s">
        <v>964</v>
      </c>
      <c r="E240">
        <v>2400</v>
      </c>
      <c r="F240">
        <v>2300</v>
      </c>
      <c r="G240">
        <v>570</v>
      </c>
      <c r="H240" s="114">
        <v>44670</v>
      </c>
      <c r="I240" s="114"/>
      <c r="J240" s="113"/>
    </row>
    <row r="241" spans="2:10" x14ac:dyDescent="0.3">
      <c r="D241" t="s">
        <v>965</v>
      </c>
      <c r="E241">
        <v>2400</v>
      </c>
      <c r="F241">
        <v>2300</v>
      </c>
      <c r="G241">
        <v>570</v>
      </c>
      <c r="H241" s="114">
        <v>44670</v>
      </c>
      <c r="I241" s="114"/>
      <c r="J241" s="113"/>
    </row>
    <row r="242" spans="2:10" x14ac:dyDescent="0.3">
      <c r="D242" t="s">
        <v>966</v>
      </c>
      <c r="E242">
        <v>2400</v>
      </c>
      <c r="F242">
        <v>2300</v>
      </c>
      <c r="G242">
        <v>570</v>
      </c>
      <c r="H242" s="114">
        <v>44670</v>
      </c>
      <c r="I242" s="114"/>
      <c r="J242" s="113"/>
    </row>
    <row r="243" spans="2:10" x14ac:dyDescent="0.3">
      <c r="D243" t="s">
        <v>967</v>
      </c>
      <c r="E243">
        <v>2400</v>
      </c>
      <c r="F243">
        <v>2300</v>
      </c>
      <c r="G243">
        <v>570</v>
      </c>
      <c r="H243" s="114">
        <v>44670</v>
      </c>
      <c r="I243" s="114"/>
      <c r="J243" s="113"/>
    </row>
    <row r="244" spans="2:10" x14ac:dyDescent="0.3">
      <c r="D244" t="s">
        <v>968</v>
      </c>
      <c r="E244">
        <v>2400</v>
      </c>
      <c r="F244">
        <v>2300</v>
      </c>
      <c r="G244">
        <v>570</v>
      </c>
      <c r="H244" s="114">
        <v>44670</v>
      </c>
      <c r="I244" s="114"/>
      <c r="J244" s="113"/>
    </row>
    <row r="245" spans="2:10" x14ac:dyDescent="0.3">
      <c r="D245" t="s">
        <v>969</v>
      </c>
      <c r="E245">
        <v>2400</v>
      </c>
      <c r="F245">
        <v>2300</v>
      </c>
      <c r="G245">
        <v>570</v>
      </c>
      <c r="H245" s="114">
        <v>47990</v>
      </c>
      <c r="I245" s="114"/>
      <c r="J245" s="113"/>
    </row>
    <row r="246" spans="2:10" x14ac:dyDescent="0.3">
      <c r="D246" t="s">
        <v>970</v>
      </c>
      <c r="E246">
        <v>2400</v>
      </c>
      <c r="F246">
        <v>2300</v>
      </c>
      <c r="G246">
        <v>570</v>
      </c>
      <c r="H246" s="114">
        <v>47990</v>
      </c>
      <c r="I246" s="114"/>
      <c r="J246" s="113"/>
    </row>
    <row r="247" spans="2:10" x14ac:dyDescent="0.3">
      <c r="D247" t="s">
        <v>971</v>
      </c>
      <c r="E247">
        <v>2400</v>
      </c>
      <c r="F247">
        <v>2300</v>
      </c>
      <c r="G247">
        <v>570</v>
      </c>
      <c r="H247" s="114">
        <v>47990</v>
      </c>
      <c r="I247" s="114"/>
      <c r="J247" s="113"/>
    </row>
    <row r="248" spans="2:10" x14ac:dyDescent="0.3">
      <c r="D248" t="s">
        <v>972</v>
      </c>
      <c r="E248">
        <v>2400</v>
      </c>
      <c r="F248">
        <v>2300</v>
      </c>
      <c r="G248">
        <v>570</v>
      </c>
      <c r="H248" s="114">
        <v>47990</v>
      </c>
      <c r="I248" s="114"/>
      <c r="J248" s="113"/>
    </row>
    <row r="249" spans="2:10" x14ac:dyDescent="0.3">
      <c r="D249" t="s">
        <v>973</v>
      </c>
      <c r="E249">
        <v>2400</v>
      </c>
      <c r="F249">
        <v>2300</v>
      </c>
      <c r="G249">
        <v>570</v>
      </c>
      <c r="H249" s="114">
        <v>47990</v>
      </c>
      <c r="I249" s="114"/>
      <c r="J249" s="113"/>
    </row>
    <row r="250" spans="2:10" x14ac:dyDescent="0.3">
      <c r="B250" t="s">
        <v>219</v>
      </c>
      <c r="C250" t="s">
        <v>816</v>
      </c>
      <c r="D250" t="s">
        <v>220</v>
      </c>
      <c r="E250">
        <v>1200</v>
      </c>
      <c r="F250">
        <v>2200</v>
      </c>
      <c r="G250">
        <v>440</v>
      </c>
      <c r="H250" s="114">
        <v>16680</v>
      </c>
      <c r="I250" s="114">
        <v>17700</v>
      </c>
      <c r="J250" s="113"/>
    </row>
    <row r="251" spans="2:10" x14ac:dyDescent="0.3">
      <c r="G251">
        <v>600</v>
      </c>
      <c r="H251" s="114">
        <v>18720</v>
      </c>
      <c r="I251" s="114">
        <v>19980</v>
      </c>
      <c r="J251" s="113"/>
    </row>
    <row r="252" spans="2:10" x14ac:dyDescent="0.3">
      <c r="F252">
        <v>2400</v>
      </c>
      <c r="G252">
        <v>440</v>
      </c>
      <c r="H252" s="114">
        <v>18160</v>
      </c>
      <c r="I252" s="114">
        <v>19260</v>
      </c>
      <c r="J252" s="113"/>
    </row>
    <row r="253" spans="2:10" x14ac:dyDescent="0.3">
      <c r="G253">
        <v>600</v>
      </c>
      <c r="H253" s="114">
        <v>20520</v>
      </c>
      <c r="I253" s="114">
        <v>21880</v>
      </c>
      <c r="J253" s="113"/>
    </row>
    <row r="254" spans="2:10" x14ac:dyDescent="0.3">
      <c r="E254">
        <v>1400</v>
      </c>
      <c r="F254">
        <v>2200</v>
      </c>
      <c r="G254">
        <v>440</v>
      </c>
      <c r="H254" s="114">
        <v>18710</v>
      </c>
      <c r="I254" s="114">
        <v>19800</v>
      </c>
      <c r="J254" s="113"/>
    </row>
    <row r="255" spans="2:10" x14ac:dyDescent="0.3">
      <c r="G255">
        <v>600</v>
      </c>
      <c r="H255" s="114">
        <v>20960</v>
      </c>
      <c r="I255" s="114">
        <v>22320</v>
      </c>
      <c r="J255" s="113"/>
    </row>
    <row r="256" spans="2:10" x14ac:dyDescent="0.3">
      <c r="F256">
        <v>2400</v>
      </c>
      <c r="G256">
        <v>440</v>
      </c>
      <c r="H256" s="114">
        <v>19850</v>
      </c>
      <c r="I256" s="114">
        <v>20960</v>
      </c>
      <c r="J256" s="113"/>
    </row>
    <row r="257" spans="4:10" x14ac:dyDescent="0.3">
      <c r="G257">
        <v>600</v>
      </c>
      <c r="H257" s="114">
        <v>22930</v>
      </c>
      <c r="I257" s="114">
        <v>24420</v>
      </c>
      <c r="J257" s="113"/>
    </row>
    <row r="258" spans="4:10" x14ac:dyDescent="0.3">
      <c r="E258">
        <v>1600</v>
      </c>
      <c r="F258">
        <v>2200</v>
      </c>
      <c r="G258">
        <v>440</v>
      </c>
      <c r="H258" s="114">
        <v>21110</v>
      </c>
      <c r="I258" s="114">
        <v>22270</v>
      </c>
      <c r="J258" s="113"/>
    </row>
    <row r="259" spans="4:10" x14ac:dyDescent="0.3">
      <c r="G259">
        <v>600</v>
      </c>
      <c r="H259" s="114">
        <v>23540</v>
      </c>
      <c r="I259" s="114">
        <v>24980</v>
      </c>
      <c r="J259" s="113"/>
    </row>
    <row r="260" spans="4:10" x14ac:dyDescent="0.3">
      <c r="F260">
        <v>2400</v>
      </c>
      <c r="G260">
        <v>440</v>
      </c>
      <c r="H260" s="114">
        <v>22230</v>
      </c>
      <c r="I260" s="114">
        <v>23420</v>
      </c>
      <c r="J260" s="113"/>
    </row>
    <row r="261" spans="4:10" x14ac:dyDescent="0.3">
      <c r="G261">
        <v>600</v>
      </c>
      <c r="H261" s="114">
        <v>25500</v>
      </c>
      <c r="I261" s="114">
        <v>27050</v>
      </c>
      <c r="J261" s="113"/>
    </row>
    <row r="262" spans="4:10" x14ac:dyDescent="0.3">
      <c r="D262" t="s">
        <v>221</v>
      </c>
      <c r="E262">
        <v>1200</v>
      </c>
      <c r="F262">
        <v>2200</v>
      </c>
      <c r="G262">
        <v>440</v>
      </c>
      <c r="H262" s="114">
        <v>19840</v>
      </c>
      <c r="I262" s="114">
        <v>20860</v>
      </c>
      <c r="J262" s="113"/>
    </row>
    <row r="263" spans="4:10" x14ac:dyDescent="0.3">
      <c r="G263">
        <v>600</v>
      </c>
      <c r="H263" s="114">
        <v>21880</v>
      </c>
      <c r="I263" s="114">
        <v>23140</v>
      </c>
      <c r="J263" s="113"/>
    </row>
    <row r="264" spans="4:10" x14ac:dyDescent="0.3">
      <c r="F264">
        <v>2400</v>
      </c>
      <c r="G264">
        <v>440</v>
      </c>
      <c r="H264" s="114">
        <v>21470</v>
      </c>
      <c r="I264" s="114">
        <v>22570</v>
      </c>
      <c r="J264" s="113"/>
    </row>
    <row r="265" spans="4:10" x14ac:dyDescent="0.3">
      <c r="G265">
        <v>600</v>
      </c>
      <c r="H265" s="114">
        <v>23830</v>
      </c>
      <c r="I265" s="114">
        <v>25190</v>
      </c>
      <c r="J265" s="113"/>
    </row>
    <row r="266" spans="4:10" x14ac:dyDescent="0.3">
      <c r="E266">
        <v>1400</v>
      </c>
      <c r="F266">
        <v>2200</v>
      </c>
      <c r="G266">
        <v>440</v>
      </c>
      <c r="H266" s="114">
        <v>22780</v>
      </c>
      <c r="I266" s="114">
        <v>23870</v>
      </c>
      <c r="J266" s="113"/>
    </row>
    <row r="267" spans="4:10" x14ac:dyDescent="0.3">
      <c r="G267">
        <v>600</v>
      </c>
      <c r="H267" s="114">
        <v>25030</v>
      </c>
      <c r="I267" s="114">
        <v>26390</v>
      </c>
      <c r="J267" s="113"/>
    </row>
    <row r="268" spans="4:10" x14ac:dyDescent="0.3">
      <c r="F268">
        <v>2400</v>
      </c>
      <c r="G268">
        <v>440</v>
      </c>
      <c r="H268" s="114">
        <v>24190</v>
      </c>
      <c r="I268" s="114">
        <v>25300</v>
      </c>
      <c r="J268" s="113"/>
    </row>
    <row r="269" spans="4:10" x14ac:dyDescent="0.3">
      <c r="G269">
        <v>600</v>
      </c>
      <c r="H269" s="114">
        <v>27270</v>
      </c>
      <c r="I269" s="114">
        <v>28760</v>
      </c>
      <c r="J269" s="113"/>
    </row>
    <row r="270" spans="4:10" x14ac:dyDescent="0.3">
      <c r="E270">
        <v>1600</v>
      </c>
      <c r="F270">
        <v>2200</v>
      </c>
      <c r="G270">
        <v>440</v>
      </c>
      <c r="H270" s="114">
        <v>25020</v>
      </c>
      <c r="I270" s="114">
        <v>26180</v>
      </c>
      <c r="J270" s="113"/>
    </row>
    <row r="271" spans="4:10" x14ac:dyDescent="0.3">
      <c r="G271">
        <v>600</v>
      </c>
      <c r="H271" s="114">
        <v>27450</v>
      </c>
      <c r="I271" s="114">
        <v>28890</v>
      </c>
      <c r="J271" s="113"/>
    </row>
    <row r="272" spans="4:10" x14ac:dyDescent="0.3">
      <c r="F272">
        <v>2400</v>
      </c>
      <c r="G272">
        <v>440</v>
      </c>
      <c r="H272" s="114">
        <v>26610</v>
      </c>
      <c r="I272" s="114">
        <v>27800</v>
      </c>
      <c r="J272" s="113"/>
    </row>
    <row r="273" spans="4:10" x14ac:dyDescent="0.3">
      <c r="G273">
        <v>600</v>
      </c>
      <c r="H273" s="114">
        <v>29880</v>
      </c>
      <c r="I273" s="114">
        <v>31430</v>
      </c>
      <c r="J273" s="113"/>
    </row>
    <row r="274" spans="4:10" x14ac:dyDescent="0.3">
      <c r="D274" t="s">
        <v>222</v>
      </c>
      <c r="E274">
        <v>1200</v>
      </c>
      <c r="F274">
        <v>2200</v>
      </c>
      <c r="G274">
        <v>440</v>
      </c>
      <c r="H274" s="114">
        <v>19840</v>
      </c>
      <c r="I274" s="114">
        <v>20860</v>
      </c>
      <c r="J274" s="113"/>
    </row>
    <row r="275" spans="4:10" x14ac:dyDescent="0.3">
      <c r="G275">
        <v>600</v>
      </c>
      <c r="H275" s="114">
        <v>21880</v>
      </c>
      <c r="I275" s="114">
        <v>23140</v>
      </c>
      <c r="J275" s="113"/>
    </row>
    <row r="276" spans="4:10" x14ac:dyDescent="0.3">
      <c r="F276">
        <v>2400</v>
      </c>
      <c r="G276">
        <v>440</v>
      </c>
      <c r="H276" s="114">
        <v>21470</v>
      </c>
      <c r="I276" s="114">
        <v>22570</v>
      </c>
      <c r="J276" s="113"/>
    </row>
    <row r="277" spans="4:10" x14ac:dyDescent="0.3">
      <c r="G277">
        <v>600</v>
      </c>
      <c r="H277" s="114">
        <v>23830</v>
      </c>
      <c r="I277" s="114">
        <v>25190</v>
      </c>
      <c r="J277" s="113"/>
    </row>
    <row r="278" spans="4:10" x14ac:dyDescent="0.3">
      <c r="E278">
        <v>1400</v>
      </c>
      <c r="F278">
        <v>2200</v>
      </c>
      <c r="G278">
        <v>440</v>
      </c>
      <c r="H278" s="114">
        <v>22780</v>
      </c>
      <c r="I278" s="114">
        <v>23870</v>
      </c>
      <c r="J278" s="113"/>
    </row>
    <row r="279" spans="4:10" x14ac:dyDescent="0.3">
      <c r="G279">
        <v>600</v>
      </c>
      <c r="H279" s="114">
        <v>25030</v>
      </c>
      <c r="I279" s="114">
        <v>26390</v>
      </c>
      <c r="J279" s="113"/>
    </row>
    <row r="280" spans="4:10" x14ac:dyDescent="0.3">
      <c r="F280">
        <v>2400</v>
      </c>
      <c r="G280">
        <v>440</v>
      </c>
      <c r="H280" s="114">
        <v>24190</v>
      </c>
      <c r="I280" s="114">
        <v>25300</v>
      </c>
      <c r="J280" s="113"/>
    </row>
    <row r="281" spans="4:10" x14ac:dyDescent="0.3">
      <c r="G281">
        <v>600</v>
      </c>
      <c r="H281" s="114">
        <v>27270</v>
      </c>
      <c r="I281" s="114">
        <v>28760</v>
      </c>
      <c r="J281" s="113"/>
    </row>
    <row r="282" spans="4:10" x14ac:dyDescent="0.3">
      <c r="E282">
        <v>1600</v>
      </c>
      <c r="F282">
        <v>2200</v>
      </c>
      <c r="G282">
        <v>440</v>
      </c>
      <c r="H282" s="114">
        <v>25020</v>
      </c>
      <c r="I282" s="114">
        <v>26180</v>
      </c>
      <c r="J282" s="113"/>
    </row>
    <row r="283" spans="4:10" x14ac:dyDescent="0.3">
      <c r="G283">
        <v>600</v>
      </c>
      <c r="H283" s="114">
        <v>27450</v>
      </c>
      <c r="I283" s="114">
        <v>28890</v>
      </c>
      <c r="J283" s="113"/>
    </row>
    <row r="284" spans="4:10" x14ac:dyDescent="0.3">
      <c r="F284">
        <v>2400</v>
      </c>
      <c r="G284">
        <v>440</v>
      </c>
      <c r="H284" s="114">
        <v>26610</v>
      </c>
      <c r="I284" s="114">
        <v>27800</v>
      </c>
      <c r="J284" s="113"/>
    </row>
    <row r="285" spans="4:10" x14ac:dyDescent="0.3">
      <c r="G285">
        <v>600</v>
      </c>
      <c r="H285" s="114">
        <v>29880</v>
      </c>
      <c r="I285" s="114">
        <v>31430</v>
      </c>
      <c r="J285" s="113"/>
    </row>
    <row r="286" spans="4:10" x14ac:dyDescent="0.3">
      <c r="D286" t="s">
        <v>223</v>
      </c>
      <c r="E286">
        <v>1200</v>
      </c>
      <c r="F286">
        <v>2200</v>
      </c>
      <c r="G286">
        <v>440</v>
      </c>
      <c r="H286" s="114">
        <v>19840</v>
      </c>
      <c r="I286" s="114">
        <v>20860</v>
      </c>
      <c r="J286" s="113"/>
    </row>
    <row r="287" spans="4:10" x14ac:dyDescent="0.3">
      <c r="G287">
        <v>600</v>
      </c>
      <c r="H287" s="114">
        <v>21880</v>
      </c>
      <c r="I287" s="114">
        <v>23140</v>
      </c>
      <c r="J287" s="113"/>
    </row>
    <row r="288" spans="4:10" x14ac:dyDescent="0.3">
      <c r="F288">
        <v>2400</v>
      </c>
      <c r="G288">
        <v>440</v>
      </c>
      <c r="H288" s="114">
        <v>21470</v>
      </c>
      <c r="I288" s="114">
        <v>22570</v>
      </c>
      <c r="J288" s="113"/>
    </row>
    <row r="289" spans="4:10" x14ac:dyDescent="0.3">
      <c r="G289">
        <v>600</v>
      </c>
      <c r="H289" s="114">
        <v>23830</v>
      </c>
      <c r="I289" s="114">
        <v>25190</v>
      </c>
      <c r="J289" s="113"/>
    </row>
    <row r="290" spans="4:10" x14ac:dyDescent="0.3">
      <c r="E290">
        <v>1400</v>
      </c>
      <c r="F290">
        <v>2200</v>
      </c>
      <c r="G290">
        <v>440</v>
      </c>
      <c r="H290" s="114">
        <v>22780</v>
      </c>
      <c r="I290" s="114">
        <v>23870</v>
      </c>
      <c r="J290" s="113"/>
    </row>
    <row r="291" spans="4:10" x14ac:dyDescent="0.3">
      <c r="G291">
        <v>600</v>
      </c>
      <c r="H291" s="114">
        <v>25030</v>
      </c>
      <c r="I291" s="114">
        <v>26390</v>
      </c>
      <c r="J291" s="113"/>
    </row>
    <row r="292" spans="4:10" x14ac:dyDescent="0.3">
      <c r="F292">
        <v>2400</v>
      </c>
      <c r="G292">
        <v>440</v>
      </c>
      <c r="H292" s="114">
        <v>24190</v>
      </c>
      <c r="I292" s="114">
        <v>25300</v>
      </c>
      <c r="J292" s="113"/>
    </row>
    <row r="293" spans="4:10" x14ac:dyDescent="0.3">
      <c r="G293">
        <v>600</v>
      </c>
      <c r="H293" s="114">
        <v>27270</v>
      </c>
      <c r="I293" s="114">
        <v>28760</v>
      </c>
      <c r="J293" s="113"/>
    </row>
    <row r="294" spans="4:10" x14ac:dyDescent="0.3">
      <c r="E294">
        <v>1600</v>
      </c>
      <c r="F294">
        <v>2200</v>
      </c>
      <c r="G294">
        <v>440</v>
      </c>
      <c r="H294" s="114">
        <v>25020</v>
      </c>
      <c r="I294" s="114">
        <v>26180</v>
      </c>
      <c r="J294" s="113"/>
    </row>
    <row r="295" spans="4:10" x14ac:dyDescent="0.3">
      <c r="G295">
        <v>600</v>
      </c>
      <c r="H295" s="114">
        <v>27450</v>
      </c>
      <c r="I295" s="114">
        <v>28890</v>
      </c>
      <c r="J295" s="113"/>
    </row>
    <row r="296" spans="4:10" x14ac:dyDescent="0.3">
      <c r="F296">
        <v>2400</v>
      </c>
      <c r="G296">
        <v>440</v>
      </c>
      <c r="H296" s="114">
        <v>26610</v>
      </c>
      <c r="I296" s="114">
        <v>27800</v>
      </c>
      <c r="J296" s="113"/>
    </row>
    <row r="297" spans="4:10" x14ac:dyDescent="0.3">
      <c r="G297">
        <v>600</v>
      </c>
      <c r="H297" s="114">
        <v>29880</v>
      </c>
      <c r="I297" s="114">
        <v>31430</v>
      </c>
      <c r="J297" s="113"/>
    </row>
    <row r="298" spans="4:10" x14ac:dyDescent="0.3">
      <c r="D298" t="s">
        <v>224</v>
      </c>
      <c r="E298">
        <v>1200</v>
      </c>
      <c r="F298">
        <v>2200</v>
      </c>
      <c r="G298">
        <v>440</v>
      </c>
      <c r="H298" s="114">
        <v>19840</v>
      </c>
      <c r="I298" s="114">
        <v>20860</v>
      </c>
      <c r="J298" s="113"/>
    </row>
    <row r="299" spans="4:10" x14ac:dyDescent="0.3">
      <c r="G299">
        <v>600</v>
      </c>
      <c r="H299" s="114">
        <v>21880</v>
      </c>
      <c r="I299" s="114">
        <v>23140</v>
      </c>
      <c r="J299" s="113"/>
    </row>
    <row r="300" spans="4:10" x14ac:dyDescent="0.3">
      <c r="F300">
        <v>2400</v>
      </c>
      <c r="G300">
        <v>440</v>
      </c>
      <c r="H300" s="114">
        <v>21470</v>
      </c>
      <c r="I300" s="114">
        <v>22570</v>
      </c>
      <c r="J300" s="113"/>
    </row>
    <row r="301" spans="4:10" x14ac:dyDescent="0.3">
      <c r="G301">
        <v>600</v>
      </c>
      <c r="H301" s="114">
        <v>23830</v>
      </c>
      <c r="I301" s="114">
        <v>25190</v>
      </c>
      <c r="J301" s="113"/>
    </row>
    <row r="302" spans="4:10" x14ac:dyDescent="0.3">
      <c r="E302">
        <v>1400</v>
      </c>
      <c r="F302">
        <v>2200</v>
      </c>
      <c r="G302">
        <v>440</v>
      </c>
      <c r="H302" s="114">
        <v>22780</v>
      </c>
      <c r="I302" s="114">
        <v>23870</v>
      </c>
      <c r="J302" s="113"/>
    </row>
    <row r="303" spans="4:10" x14ac:dyDescent="0.3">
      <c r="G303">
        <v>600</v>
      </c>
      <c r="H303" s="114">
        <v>25030</v>
      </c>
      <c r="I303" s="114">
        <v>26390</v>
      </c>
      <c r="J303" s="113"/>
    </row>
    <row r="304" spans="4:10" x14ac:dyDescent="0.3">
      <c r="F304">
        <v>2400</v>
      </c>
      <c r="G304">
        <v>440</v>
      </c>
      <c r="H304" s="114">
        <v>24190</v>
      </c>
      <c r="I304" s="114">
        <v>25300</v>
      </c>
      <c r="J304" s="113"/>
    </row>
    <row r="305" spans="4:10" x14ac:dyDescent="0.3">
      <c r="G305">
        <v>600</v>
      </c>
      <c r="H305" s="114">
        <v>27270</v>
      </c>
      <c r="I305" s="114">
        <v>28760</v>
      </c>
      <c r="J305" s="113"/>
    </row>
    <row r="306" spans="4:10" x14ac:dyDescent="0.3">
      <c r="E306">
        <v>1600</v>
      </c>
      <c r="F306">
        <v>2200</v>
      </c>
      <c r="G306">
        <v>440</v>
      </c>
      <c r="H306" s="114">
        <v>25020</v>
      </c>
      <c r="I306" s="114">
        <v>26180</v>
      </c>
      <c r="J306" s="113"/>
    </row>
    <row r="307" spans="4:10" x14ac:dyDescent="0.3">
      <c r="G307">
        <v>600</v>
      </c>
      <c r="H307" s="114">
        <v>27450</v>
      </c>
      <c r="I307" s="114">
        <v>28890</v>
      </c>
      <c r="J307" s="113"/>
    </row>
    <row r="308" spans="4:10" x14ac:dyDescent="0.3">
      <c r="F308">
        <v>2400</v>
      </c>
      <c r="G308">
        <v>440</v>
      </c>
      <c r="H308" s="114">
        <v>26610</v>
      </c>
      <c r="I308" s="114">
        <v>27800</v>
      </c>
      <c r="J308" s="113"/>
    </row>
    <row r="309" spans="4:10" x14ac:dyDescent="0.3">
      <c r="G309">
        <v>600</v>
      </c>
      <c r="H309" s="114">
        <v>29880</v>
      </c>
      <c r="I309" s="114">
        <v>31430</v>
      </c>
      <c r="J309" s="113"/>
    </row>
    <row r="310" spans="4:10" x14ac:dyDescent="0.3">
      <c r="D310" t="s">
        <v>225</v>
      </c>
      <c r="E310">
        <v>1200</v>
      </c>
      <c r="F310">
        <v>2200</v>
      </c>
      <c r="G310">
        <v>440</v>
      </c>
      <c r="H310" s="114">
        <v>19840</v>
      </c>
      <c r="I310" s="114">
        <v>20860</v>
      </c>
      <c r="J310" s="113"/>
    </row>
    <row r="311" spans="4:10" x14ac:dyDescent="0.3">
      <c r="G311">
        <v>600</v>
      </c>
      <c r="H311" s="114">
        <v>21880</v>
      </c>
      <c r="I311" s="114">
        <v>23140</v>
      </c>
      <c r="J311" s="113"/>
    </row>
    <row r="312" spans="4:10" x14ac:dyDescent="0.3">
      <c r="F312">
        <v>2400</v>
      </c>
      <c r="G312">
        <v>440</v>
      </c>
      <c r="H312" s="114">
        <v>21470</v>
      </c>
      <c r="I312" s="114">
        <v>22570</v>
      </c>
      <c r="J312" s="113"/>
    </row>
    <row r="313" spans="4:10" x14ac:dyDescent="0.3">
      <c r="G313">
        <v>600</v>
      </c>
      <c r="H313" s="114">
        <v>23830</v>
      </c>
      <c r="I313" s="114">
        <v>25190</v>
      </c>
      <c r="J313" s="113"/>
    </row>
    <row r="314" spans="4:10" x14ac:dyDescent="0.3">
      <c r="E314">
        <v>1400</v>
      </c>
      <c r="F314">
        <v>2200</v>
      </c>
      <c r="G314">
        <v>440</v>
      </c>
      <c r="H314" s="114">
        <v>22780</v>
      </c>
      <c r="I314" s="114">
        <v>23870</v>
      </c>
      <c r="J314" s="113"/>
    </row>
    <row r="315" spans="4:10" x14ac:dyDescent="0.3">
      <c r="G315">
        <v>600</v>
      </c>
      <c r="H315" s="114">
        <v>25030</v>
      </c>
      <c r="I315" s="114">
        <v>26390</v>
      </c>
      <c r="J315" s="113"/>
    </row>
    <row r="316" spans="4:10" x14ac:dyDescent="0.3">
      <c r="F316">
        <v>2400</v>
      </c>
      <c r="G316">
        <v>440</v>
      </c>
      <c r="H316" s="114">
        <v>24190</v>
      </c>
      <c r="I316" s="114">
        <v>25300</v>
      </c>
      <c r="J316" s="113"/>
    </row>
    <row r="317" spans="4:10" x14ac:dyDescent="0.3">
      <c r="G317">
        <v>600</v>
      </c>
      <c r="H317" s="114">
        <v>27270</v>
      </c>
      <c r="I317" s="114">
        <v>28760</v>
      </c>
      <c r="J317" s="113"/>
    </row>
    <row r="318" spans="4:10" x14ac:dyDescent="0.3">
      <c r="E318">
        <v>1600</v>
      </c>
      <c r="F318">
        <v>2200</v>
      </c>
      <c r="G318">
        <v>440</v>
      </c>
      <c r="H318" s="114">
        <v>25020</v>
      </c>
      <c r="I318" s="114">
        <v>26180</v>
      </c>
      <c r="J318" s="113"/>
    </row>
    <row r="319" spans="4:10" x14ac:dyDescent="0.3">
      <c r="G319">
        <v>600</v>
      </c>
      <c r="H319" s="114">
        <v>27450</v>
      </c>
      <c r="I319" s="114">
        <v>28890</v>
      </c>
      <c r="J319" s="113"/>
    </row>
    <row r="320" spans="4:10" x14ac:dyDescent="0.3">
      <c r="F320">
        <v>2400</v>
      </c>
      <c r="G320">
        <v>440</v>
      </c>
      <c r="H320" s="114">
        <v>26610</v>
      </c>
      <c r="I320" s="114">
        <v>27800</v>
      </c>
      <c r="J320" s="113"/>
    </row>
    <row r="321" spans="4:10" x14ac:dyDescent="0.3">
      <c r="G321">
        <v>600</v>
      </c>
      <c r="H321" s="114">
        <v>29880</v>
      </c>
      <c r="I321" s="114">
        <v>31430</v>
      </c>
      <c r="J321" s="113"/>
    </row>
    <row r="322" spans="4:10" x14ac:dyDescent="0.3">
      <c r="D322" t="s">
        <v>226</v>
      </c>
      <c r="E322">
        <v>1200</v>
      </c>
      <c r="F322">
        <v>2200</v>
      </c>
      <c r="G322">
        <v>440</v>
      </c>
      <c r="H322" s="114">
        <v>19840</v>
      </c>
      <c r="I322" s="114">
        <v>20860</v>
      </c>
      <c r="J322" s="113"/>
    </row>
    <row r="323" spans="4:10" x14ac:dyDescent="0.3">
      <c r="G323">
        <v>600</v>
      </c>
      <c r="H323" s="114">
        <v>21880</v>
      </c>
      <c r="I323" s="114">
        <v>23140</v>
      </c>
      <c r="J323" s="113"/>
    </row>
    <row r="324" spans="4:10" x14ac:dyDescent="0.3">
      <c r="F324">
        <v>2400</v>
      </c>
      <c r="G324">
        <v>440</v>
      </c>
      <c r="H324" s="114">
        <v>21470</v>
      </c>
      <c r="I324" s="114">
        <v>22570</v>
      </c>
      <c r="J324" s="113"/>
    </row>
    <row r="325" spans="4:10" x14ac:dyDescent="0.3">
      <c r="G325">
        <v>600</v>
      </c>
      <c r="H325" s="114">
        <v>23830</v>
      </c>
      <c r="I325" s="114">
        <v>25190</v>
      </c>
      <c r="J325" s="113"/>
    </row>
    <row r="326" spans="4:10" x14ac:dyDescent="0.3">
      <c r="E326">
        <v>1400</v>
      </c>
      <c r="F326">
        <v>2200</v>
      </c>
      <c r="G326">
        <v>440</v>
      </c>
      <c r="H326" s="114">
        <v>22780</v>
      </c>
      <c r="I326" s="114">
        <v>23870</v>
      </c>
      <c r="J326" s="113"/>
    </row>
    <row r="327" spans="4:10" x14ac:dyDescent="0.3">
      <c r="G327">
        <v>600</v>
      </c>
      <c r="H327" s="114">
        <v>25030</v>
      </c>
      <c r="I327" s="114">
        <v>26390</v>
      </c>
      <c r="J327" s="113"/>
    </row>
    <row r="328" spans="4:10" x14ac:dyDescent="0.3">
      <c r="F328">
        <v>2400</v>
      </c>
      <c r="G328">
        <v>440</v>
      </c>
      <c r="H328" s="114">
        <v>24190</v>
      </c>
      <c r="I328" s="114">
        <v>25300</v>
      </c>
      <c r="J328" s="113"/>
    </row>
    <row r="329" spans="4:10" x14ac:dyDescent="0.3">
      <c r="G329">
        <v>600</v>
      </c>
      <c r="H329" s="114">
        <v>27270</v>
      </c>
      <c r="I329" s="114">
        <v>28760</v>
      </c>
      <c r="J329" s="113"/>
    </row>
    <row r="330" spans="4:10" x14ac:dyDescent="0.3">
      <c r="E330">
        <v>1600</v>
      </c>
      <c r="F330">
        <v>2200</v>
      </c>
      <c r="G330">
        <v>440</v>
      </c>
      <c r="H330" s="114">
        <v>25020</v>
      </c>
      <c r="I330" s="114">
        <v>26180</v>
      </c>
      <c r="J330" s="113"/>
    </row>
    <row r="331" spans="4:10" x14ac:dyDescent="0.3">
      <c r="G331">
        <v>600</v>
      </c>
      <c r="H331" s="114">
        <v>27450</v>
      </c>
      <c r="I331" s="114">
        <v>28890</v>
      </c>
      <c r="J331" s="113"/>
    </row>
    <row r="332" spans="4:10" x14ac:dyDescent="0.3">
      <c r="F332">
        <v>2400</v>
      </c>
      <c r="G332">
        <v>440</v>
      </c>
      <c r="H332" s="114">
        <v>26610</v>
      </c>
      <c r="I332" s="114">
        <v>27800</v>
      </c>
      <c r="J332" s="113"/>
    </row>
    <row r="333" spans="4:10" x14ac:dyDescent="0.3">
      <c r="G333">
        <v>600</v>
      </c>
      <c r="H333" s="114">
        <v>29880</v>
      </c>
      <c r="I333" s="114">
        <v>31430</v>
      </c>
      <c r="J333" s="113"/>
    </row>
    <row r="334" spans="4:10" x14ac:dyDescent="0.3">
      <c r="D334" t="s">
        <v>227</v>
      </c>
      <c r="E334">
        <v>1200</v>
      </c>
      <c r="F334">
        <v>2200</v>
      </c>
      <c r="G334">
        <v>440</v>
      </c>
      <c r="H334" s="114">
        <v>8520</v>
      </c>
      <c r="I334" s="114">
        <v>9540</v>
      </c>
      <c r="J334" s="113"/>
    </row>
    <row r="335" spans="4:10" x14ac:dyDescent="0.3">
      <c r="G335">
        <v>600</v>
      </c>
      <c r="H335" s="114">
        <v>10560</v>
      </c>
      <c r="I335" s="114">
        <v>11820</v>
      </c>
      <c r="J335" s="113"/>
    </row>
    <row r="336" spans="4:10" x14ac:dyDescent="0.3">
      <c r="F336">
        <v>2400</v>
      </c>
      <c r="G336">
        <v>440</v>
      </c>
      <c r="H336" s="114">
        <v>9100</v>
      </c>
      <c r="I336" s="114">
        <v>10200</v>
      </c>
      <c r="J336" s="113"/>
    </row>
    <row r="337" spans="4:10" x14ac:dyDescent="0.3">
      <c r="G337">
        <v>600</v>
      </c>
      <c r="H337" s="114">
        <v>11460</v>
      </c>
      <c r="I337" s="114">
        <v>12820</v>
      </c>
      <c r="J337" s="113"/>
    </row>
    <row r="338" spans="4:10" x14ac:dyDescent="0.3">
      <c r="E338">
        <v>1400</v>
      </c>
      <c r="F338">
        <v>2200</v>
      </c>
      <c r="G338">
        <v>440</v>
      </c>
      <c r="H338" s="114">
        <v>9050</v>
      </c>
      <c r="I338" s="114">
        <v>10140</v>
      </c>
      <c r="J338" s="113"/>
    </row>
    <row r="339" spans="4:10" x14ac:dyDescent="0.3">
      <c r="G339">
        <v>600</v>
      </c>
      <c r="H339" s="114">
        <v>11300</v>
      </c>
      <c r="I339" s="114">
        <v>12660</v>
      </c>
      <c r="J339" s="113"/>
    </row>
    <row r="340" spans="4:10" x14ac:dyDescent="0.3">
      <c r="F340">
        <v>2400</v>
      </c>
      <c r="G340">
        <v>440</v>
      </c>
      <c r="H340" s="114">
        <v>9270</v>
      </c>
      <c r="I340" s="114">
        <v>10380</v>
      </c>
      <c r="J340" s="113"/>
    </row>
    <row r="341" spans="4:10" x14ac:dyDescent="0.3">
      <c r="G341">
        <v>600</v>
      </c>
      <c r="H341" s="114">
        <v>12350</v>
      </c>
      <c r="I341" s="114">
        <v>13840</v>
      </c>
      <c r="J341" s="113"/>
    </row>
    <row r="342" spans="4:10" x14ac:dyDescent="0.3">
      <c r="E342">
        <v>1600</v>
      </c>
      <c r="F342">
        <v>2200</v>
      </c>
      <c r="G342">
        <v>440</v>
      </c>
      <c r="H342" s="114">
        <v>9630</v>
      </c>
      <c r="I342" s="114">
        <v>10790</v>
      </c>
      <c r="J342" s="113"/>
    </row>
    <row r="343" spans="4:10" x14ac:dyDescent="0.3">
      <c r="G343">
        <v>600</v>
      </c>
      <c r="H343" s="114">
        <v>12060</v>
      </c>
      <c r="I343" s="114">
        <v>13500</v>
      </c>
      <c r="J343" s="113"/>
    </row>
    <row r="344" spans="4:10" x14ac:dyDescent="0.3">
      <c r="F344">
        <v>2400</v>
      </c>
      <c r="G344">
        <v>440</v>
      </c>
      <c r="H344" s="114">
        <v>9850</v>
      </c>
      <c r="I344" s="114">
        <v>11040</v>
      </c>
      <c r="J344" s="113"/>
    </row>
    <row r="345" spans="4:10" x14ac:dyDescent="0.3">
      <c r="G345">
        <v>600</v>
      </c>
      <c r="H345" s="114">
        <v>13120</v>
      </c>
      <c r="I345" s="114">
        <v>14670</v>
      </c>
      <c r="J345" s="113"/>
    </row>
    <row r="346" spans="4:10" x14ac:dyDescent="0.3">
      <c r="D346" t="s">
        <v>228</v>
      </c>
      <c r="E346">
        <v>1200</v>
      </c>
      <c r="F346">
        <v>2200</v>
      </c>
      <c r="G346">
        <v>440</v>
      </c>
      <c r="H346" s="114">
        <v>19840</v>
      </c>
      <c r="I346" s="114">
        <v>20860</v>
      </c>
      <c r="J346" s="113"/>
    </row>
    <row r="347" spans="4:10" x14ac:dyDescent="0.3">
      <c r="G347">
        <v>600</v>
      </c>
      <c r="H347" s="114">
        <v>21880</v>
      </c>
      <c r="I347" s="114">
        <v>23140</v>
      </c>
      <c r="J347" s="113"/>
    </row>
    <row r="348" spans="4:10" x14ac:dyDescent="0.3">
      <c r="F348">
        <v>2400</v>
      </c>
      <c r="G348">
        <v>440</v>
      </c>
      <c r="H348" s="114">
        <v>21470</v>
      </c>
      <c r="I348" s="114">
        <v>22570</v>
      </c>
      <c r="J348" s="113"/>
    </row>
    <row r="349" spans="4:10" x14ac:dyDescent="0.3">
      <c r="G349">
        <v>600</v>
      </c>
      <c r="H349" s="114">
        <v>23830</v>
      </c>
      <c r="I349" s="114">
        <v>25190</v>
      </c>
      <c r="J349" s="113"/>
    </row>
    <row r="350" spans="4:10" x14ac:dyDescent="0.3">
      <c r="E350">
        <v>1400</v>
      </c>
      <c r="F350">
        <v>2200</v>
      </c>
      <c r="G350">
        <v>440</v>
      </c>
      <c r="H350" s="114">
        <v>22780</v>
      </c>
      <c r="I350" s="114">
        <v>23870</v>
      </c>
      <c r="J350" s="113"/>
    </row>
    <row r="351" spans="4:10" x14ac:dyDescent="0.3">
      <c r="G351">
        <v>600</v>
      </c>
      <c r="H351" s="114">
        <v>25030</v>
      </c>
      <c r="I351" s="114">
        <v>26390</v>
      </c>
      <c r="J351" s="113"/>
    </row>
    <row r="352" spans="4:10" x14ac:dyDescent="0.3">
      <c r="F352">
        <v>2400</v>
      </c>
      <c r="G352">
        <v>440</v>
      </c>
      <c r="H352" s="114">
        <v>24190</v>
      </c>
      <c r="I352" s="114">
        <v>25300</v>
      </c>
      <c r="J352" s="113"/>
    </row>
    <row r="353" spans="4:10" x14ac:dyDescent="0.3">
      <c r="G353">
        <v>600</v>
      </c>
      <c r="H353" s="114">
        <v>27270</v>
      </c>
      <c r="I353" s="114">
        <v>28760</v>
      </c>
      <c r="J353" s="113"/>
    </row>
    <row r="354" spans="4:10" x14ac:dyDescent="0.3">
      <c r="E354">
        <v>1600</v>
      </c>
      <c r="F354">
        <v>2200</v>
      </c>
      <c r="G354">
        <v>440</v>
      </c>
      <c r="H354" s="114">
        <v>25020</v>
      </c>
      <c r="I354" s="114">
        <v>26180</v>
      </c>
      <c r="J354" s="113"/>
    </row>
    <row r="355" spans="4:10" x14ac:dyDescent="0.3">
      <c r="G355">
        <v>600</v>
      </c>
      <c r="H355" s="114">
        <v>27450</v>
      </c>
      <c r="I355" s="114">
        <v>28890</v>
      </c>
      <c r="J355" s="113"/>
    </row>
    <row r="356" spans="4:10" x14ac:dyDescent="0.3">
      <c r="F356">
        <v>2400</v>
      </c>
      <c r="G356">
        <v>440</v>
      </c>
      <c r="H356" s="114">
        <v>26610</v>
      </c>
      <c r="I356" s="114">
        <v>27800</v>
      </c>
      <c r="J356" s="113"/>
    </row>
    <row r="357" spans="4:10" x14ac:dyDescent="0.3">
      <c r="G357">
        <v>600</v>
      </c>
      <c r="H357" s="114">
        <v>29880</v>
      </c>
      <c r="I357" s="114">
        <v>31430</v>
      </c>
      <c r="J357" s="113"/>
    </row>
    <row r="358" spans="4:10" x14ac:dyDescent="0.3">
      <c r="D358" t="s">
        <v>229</v>
      </c>
      <c r="E358">
        <v>1200</v>
      </c>
      <c r="F358">
        <v>2200</v>
      </c>
      <c r="G358">
        <v>440</v>
      </c>
      <c r="H358" s="114">
        <v>19840</v>
      </c>
      <c r="I358" s="114">
        <v>20860</v>
      </c>
      <c r="J358" s="113"/>
    </row>
    <row r="359" spans="4:10" x14ac:dyDescent="0.3">
      <c r="G359">
        <v>600</v>
      </c>
      <c r="H359" s="114">
        <v>21880</v>
      </c>
      <c r="I359" s="114">
        <v>23140</v>
      </c>
      <c r="J359" s="113"/>
    </row>
    <row r="360" spans="4:10" x14ac:dyDescent="0.3">
      <c r="F360">
        <v>2400</v>
      </c>
      <c r="G360">
        <v>440</v>
      </c>
      <c r="H360" s="114">
        <v>21470</v>
      </c>
      <c r="I360" s="114">
        <v>22570</v>
      </c>
      <c r="J360" s="113"/>
    </row>
    <row r="361" spans="4:10" x14ac:dyDescent="0.3">
      <c r="G361">
        <v>600</v>
      </c>
      <c r="H361" s="114">
        <v>23830</v>
      </c>
      <c r="I361" s="114">
        <v>25190</v>
      </c>
      <c r="J361" s="113"/>
    </row>
    <row r="362" spans="4:10" x14ac:dyDescent="0.3">
      <c r="E362">
        <v>1400</v>
      </c>
      <c r="F362">
        <v>2200</v>
      </c>
      <c r="G362">
        <v>440</v>
      </c>
      <c r="H362" s="114">
        <v>22780</v>
      </c>
      <c r="I362" s="114">
        <v>23870</v>
      </c>
      <c r="J362" s="113"/>
    </row>
    <row r="363" spans="4:10" x14ac:dyDescent="0.3">
      <c r="G363">
        <v>600</v>
      </c>
      <c r="H363" s="114">
        <v>25030</v>
      </c>
      <c r="I363" s="114">
        <v>26390</v>
      </c>
      <c r="J363" s="113"/>
    </row>
    <row r="364" spans="4:10" x14ac:dyDescent="0.3">
      <c r="F364">
        <v>2400</v>
      </c>
      <c r="G364">
        <v>440</v>
      </c>
      <c r="H364" s="114">
        <v>24190</v>
      </c>
      <c r="I364" s="114">
        <v>25300</v>
      </c>
      <c r="J364" s="113"/>
    </row>
    <row r="365" spans="4:10" x14ac:dyDescent="0.3">
      <c r="G365">
        <v>600</v>
      </c>
      <c r="H365" s="114">
        <v>27270</v>
      </c>
      <c r="I365" s="114">
        <v>28760</v>
      </c>
      <c r="J365" s="113"/>
    </row>
    <row r="366" spans="4:10" x14ac:dyDescent="0.3">
      <c r="E366">
        <v>1600</v>
      </c>
      <c r="F366">
        <v>2200</v>
      </c>
      <c r="G366">
        <v>440</v>
      </c>
      <c r="H366" s="114">
        <v>25020</v>
      </c>
      <c r="I366" s="114">
        <v>26180</v>
      </c>
      <c r="J366" s="113"/>
    </row>
    <row r="367" spans="4:10" x14ac:dyDescent="0.3">
      <c r="G367">
        <v>600</v>
      </c>
      <c r="H367" s="114">
        <v>27450</v>
      </c>
      <c r="I367" s="114">
        <v>28890</v>
      </c>
      <c r="J367" s="113"/>
    </row>
    <row r="368" spans="4:10" x14ac:dyDescent="0.3">
      <c r="F368">
        <v>2400</v>
      </c>
      <c r="G368">
        <v>440</v>
      </c>
      <c r="H368" s="114">
        <v>26610</v>
      </c>
      <c r="I368" s="114">
        <v>27800</v>
      </c>
      <c r="J368" s="113"/>
    </row>
    <row r="369" spans="4:10" x14ac:dyDescent="0.3">
      <c r="G369">
        <v>600</v>
      </c>
      <c r="H369" s="114">
        <v>29880</v>
      </c>
      <c r="I369" s="114">
        <v>31430</v>
      </c>
      <c r="J369" s="113"/>
    </row>
    <row r="370" spans="4:10" x14ac:dyDescent="0.3">
      <c r="D370" t="s">
        <v>230</v>
      </c>
      <c r="E370">
        <v>1200</v>
      </c>
      <c r="F370">
        <v>2200</v>
      </c>
      <c r="G370">
        <v>440</v>
      </c>
      <c r="H370" s="114">
        <v>19840</v>
      </c>
      <c r="I370" s="114">
        <v>20860</v>
      </c>
      <c r="J370" s="113"/>
    </row>
    <row r="371" spans="4:10" x14ac:dyDescent="0.3">
      <c r="G371">
        <v>600</v>
      </c>
      <c r="H371" s="114">
        <v>21880</v>
      </c>
      <c r="I371" s="114">
        <v>23140</v>
      </c>
      <c r="J371" s="113"/>
    </row>
    <row r="372" spans="4:10" x14ac:dyDescent="0.3">
      <c r="F372">
        <v>2400</v>
      </c>
      <c r="G372">
        <v>440</v>
      </c>
      <c r="H372" s="114">
        <v>21470</v>
      </c>
      <c r="I372" s="114">
        <v>22570</v>
      </c>
      <c r="J372" s="113"/>
    </row>
    <row r="373" spans="4:10" x14ac:dyDescent="0.3">
      <c r="G373">
        <v>600</v>
      </c>
      <c r="H373" s="114">
        <v>23830</v>
      </c>
      <c r="I373" s="114">
        <v>25190</v>
      </c>
      <c r="J373" s="113"/>
    </row>
    <row r="374" spans="4:10" x14ac:dyDescent="0.3">
      <c r="E374">
        <v>1400</v>
      </c>
      <c r="F374">
        <v>2200</v>
      </c>
      <c r="G374">
        <v>440</v>
      </c>
      <c r="H374" s="114">
        <v>22780</v>
      </c>
      <c r="I374" s="114">
        <v>23870</v>
      </c>
      <c r="J374" s="113"/>
    </row>
    <row r="375" spans="4:10" x14ac:dyDescent="0.3">
      <c r="G375">
        <v>600</v>
      </c>
      <c r="H375" s="114">
        <v>25030</v>
      </c>
      <c r="I375" s="114">
        <v>26390</v>
      </c>
      <c r="J375" s="113"/>
    </row>
    <row r="376" spans="4:10" x14ac:dyDescent="0.3">
      <c r="F376">
        <v>2400</v>
      </c>
      <c r="G376">
        <v>440</v>
      </c>
      <c r="H376" s="114">
        <v>24190</v>
      </c>
      <c r="I376" s="114">
        <v>25300</v>
      </c>
      <c r="J376" s="113"/>
    </row>
    <row r="377" spans="4:10" x14ac:dyDescent="0.3">
      <c r="G377">
        <v>600</v>
      </c>
      <c r="H377" s="114">
        <v>27270</v>
      </c>
      <c r="I377" s="114">
        <v>28760</v>
      </c>
      <c r="J377" s="113"/>
    </row>
    <row r="378" spans="4:10" x14ac:dyDescent="0.3">
      <c r="E378">
        <v>1600</v>
      </c>
      <c r="F378">
        <v>2200</v>
      </c>
      <c r="G378">
        <v>440</v>
      </c>
      <c r="H378" s="114">
        <v>25020</v>
      </c>
      <c r="I378" s="114">
        <v>26180</v>
      </c>
      <c r="J378" s="113"/>
    </row>
    <row r="379" spans="4:10" x14ac:dyDescent="0.3">
      <c r="G379">
        <v>600</v>
      </c>
      <c r="H379" s="114">
        <v>27450</v>
      </c>
      <c r="I379" s="114">
        <v>28890</v>
      </c>
      <c r="J379" s="113"/>
    </row>
    <row r="380" spans="4:10" x14ac:dyDescent="0.3">
      <c r="F380">
        <v>2400</v>
      </c>
      <c r="G380">
        <v>440</v>
      </c>
      <c r="H380" s="114">
        <v>26610</v>
      </c>
      <c r="I380" s="114">
        <v>27800</v>
      </c>
      <c r="J380" s="113"/>
    </row>
    <row r="381" spans="4:10" x14ac:dyDescent="0.3">
      <c r="G381">
        <v>600</v>
      </c>
      <c r="H381" s="114">
        <v>29880</v>
      </c>
      <c r="I381" s="114">
        <v>31430</v>
      </c>
      <c r="J381" s="113"/>
    </row>
    <row r="382" spans="4:10" x14ac:dyDescent="0.3">
      <c r="D382" t="s">
        <v>231</v>
      </c>
      <c r="E382">
        <v>1200</v>
      </c>
      <c r="F382">
        <v>2200</v>
      </c>
      <c r="G382">
        <v>440</v>
      </c>
      <c r="H382" s="114">
        <v>19840</v>
      </c>
      <c r="I382" s="114">
        <v>20860</v>
      </c>
      <c r="J382" s="113"/>
    </row>
    <row r="383" spans="4:10" x14ac:dyDescent="0.3">
      <c r="G383">
        <v>600</v>
      </c>
      <c r="H383" s="114">
        <v>21880</v>
      </c>
      <c r="I383" s="114">
        <v>23140</v>
      </c>
      <c r="J383" s="113"/>
    </row>
    <row r="384" spans="4:10" x14ac:dyDescent="0.3">
      <c r="F384">
        <v>2400</v>
      </c>
      <c r="G384">
        <v>440</v>
      </c>
      <c r="H384" s="114">
        <v>21470</v>
      </c>
      <c r="I384" s="114">
        <v>22570</v>
      </c>
      <c r="J384" s="113"/>
    </row>
    <row r="385" spans="4:10" x14ac:dyDescent="0.3">
      <c r="G385">
        <v>600</v>
      </c>
      <c r="H385" s="114">
        <v>23830</v>
      </c>
      <c r="I385" s="114">
        <v>25190</v>
      </c>
      <c r="J385" s="113"/>
    </row>
    <row r="386" spans="4:10" x14ac:dyDescent="0.3">
      <c r="E386">
        <v>1400</v>
      </c>
      <c r="F386">
        <v>2200</v>
      </c>
      <c r="G386">
        <v>440</v>
      </c>
      <c r="H386" s="114">
        <v>22780</v>
      </c>
      <c r="I386" s="114">
        <v>23870</v>
      </c>
      <c r="J386" s="113"/>
    </row>
    <row r="387" spans="4:10" x14ac:dyDescent="0.3">
      <c r="G387">
        <v>600</v>
      </c>
      <c r="H387" s="114">
        <v>25030</v>
      </c>
      <c r="I387" s="114">
        <v>26390</v>
      </c>
      <c r="J387" s="113"/>
    </row>
    <row r="388" spans="4:10" x14ac:dyDescent="0.3">
      <c r="F388">
        <v>2400</v>
      </c>
      <c r="G388">
        <v>440</v>
      </c>
      <c r="H388" s="114">
        <v>24190</v>
      </c>
      <c r="I388" s="114">
        <v>25300</v>
      </c>
      <c r="J388" s="113"/>
    </row>
    <row r="389" spans="4:10" x14ac:dyDescent="0.3">
      <c r="G389">
        <v>600</v>
      </c>
      <c r="H389" s="114">
        <v>27270</v>
      </c>
      <c r="I389" s="114">
        <v>28760</v>
      </c>
      <c r="J389" s="113"/>
    </row>
    <row r="390" spans="4:10" x14ac:dyDescent="0.3">
      <c r="E390">
        <v>1600</v>
      </c>
      <c r="F390">
        <v>2200</v>
      </c>
      <c r="G390">
        <v>440</v>
      </c>
      <c r="H390" s="114">
        <v>25020</v>
      </c>
      <c r="I390" s="114">
        <v>26180</v>
      </c>
      <c r="J390" s="113"/>
    </row>
    <row r="391" spans="4:10" x14ac:dyDescent="0.3">
      <c r="G391">
        <v>600</v>
      </c>
      <c r="H391" s="114">
        <v>27450</v>
      </c>
      <c r="I391" s="114">
        <v>28890</v>
      </c>
      <c r="J391" s="113"/>
    </row>
    <row r="392" spans="4:10" x14ac:dyDescent="0.3">
      <c r="F392">
        <v>2400</v>
      </c>
      <c r="G392">
        <v>440</v>
      </c>
      <c r="H392" s="114">
        <v>26610</v>
      </c>
      <c r="I392" s="114">
        <v>27800</v>
      </c>
      <c r="J392" s="113"/>
    </row>
    <row r="393" spans="4:10" x14ac:dyDescent="0.3">
      <c r="G393">
        <v>600</v>
      </c>
      <c r="H393" s="114">
        <v>29880</v>
      </c>
      <c r="I393" s="114">
        <v>31430</v>
      </c>
      <c r="J393" s="113"/>
    </row>
    <row r="394" spans="4:10" x14ac:dyDescent="0.3">
      <c r="D394" t="s">
        <v>232</v>
      </c>
      <c r="E394">
        <v>1200</v>
      </c>
      <c r="F394">
        <v>2200</v>
      </c>
      <c r="G394">
        <v>440</v>
      </c>
      <c r="H394" s="114">
        <v>19840</v>
      </c>
      <c r="I394" s="114">
        <v>20860</v>
      </c>
      <c r="J394" s="113"/>
    </row>
    <row r="395" spans="4:10" x14ac:dyDescent="0.3">
      <c r="G395">
        <v>600</v>
      </c>
      <c r="H395" s="114">
        <v>21880</v>
      </c>
      <c r="I395" s="114">
        <v>23140</v>
      </c>
      <c r="J395" s="113"/>
    </row>
    <row r="396" spans="4:10" x14ac:dyDescent="0.3">
      <c r="F396">
        <v>2400</v>
      </c>
      <c r="G396">
        <v>440</v>
      </c>
      <c r="H396" s="114">
        <v>21470</v>
      </c>
      <c r="I396" s="114">
        <v>22570</v>
      </c>
      <c r="J396" s="113"/>
    </row>
    <row r="397" spans="4:10" x14ac:dyDescent="0.3">
      <c r="G397">
        <v>600</v>
      </c>
      <c r="H397" s="114">
        <v>23830</v>
      </c>
      <c r="I397" s="114">
        <v>25190</v>
      </c>
      <c r="J397" s="113"/>
    </row>
    <row r="398" spans="4:10" x14ac:dyDescent="0.3">
      <c r="E398">
        <v>1400</v>
      </c>
      <c r="F398">
        <v>2200</v>
      </c>
      <c r="G398">
        <v>440</v>
      </c>
      <c r="H398" s="114">
        <v>22780</v>
      </c>
      <c r="I398" s="114">
        <v>23870</v>
      </c>
      <c r="J398" s="113"/>
    </row>
    <row r="399" spans="4:10" x14ac:dyDescent="0.3">
      <c r="G399">
        <v>600</v>
      </c>
      <c r="H399" s="114">
        <v>25030</v>
      </c>
      <c r="I399" s="114">
        <v>26390</v>
      </c>
      <c r="J399" s="113"/>
    </row>
    <row r="400" spans="4:10" x14ac:dyDescent="0.3">
      <c r="F400">
        <v>2400</v>
      </c>
      <c r="G400">
        <v>440</v>
      </c>
      <c r="H400" s="114">
        <v>24190</v>
      </c>
      <c r="I400" s="114">
        <v>25300</v>
      </c>
      <c r="J400" s="113"/>
    </row>
    <row r="401" spans="4:10" x14ac:dyDescent="0.3">
      <c r="G401">
        <v>600</v>
      </c>
      <c r="H401" s="114">
        <v>27270</v>
      </c>
      <c r="I401" s="114">
        <v>28760</v>
      </c>
      <c r="J401" s="113"/>
    </row>
    <row r="402" spans="4:10" x14ac:dyDescent="0.3">
      <c r="E402">
        <v>1600</v>
      </c>
      <c r="F402">
        <v>2200</v>
      </c>
      <c r="G402">
        <v>440</v>
      </c>
      <c r="H402" s="114">
        <v>25020</v>
      </c>
      <c r="I402" s="114">
        <v>26180</v>
      </c>
      <c r="J402" s="113"/>
    </row>
    <row r="403" spans="4:10" x14ac:dyDescent="0.3">
      <c r="G403">
        <v>600</v>
      </c>
      <c r="H403" s="114">
        <v>27450</v>
      </c>
      <c r="I403" s="114">
        <v>28890</v>
      </c>
      <c r="J403" s="113"/>
    </row>
    <row r="404" spans="4:10" x14ac:dyDescent="0.3">
      <c r="F404">
        <v>2400</v>
      </c>
      <c r="G404">
        <v>440</v>
      </c>
      <c r="H404" s="114">
        <v>26610</v>
      </c>
      <c r="I404" s="114">
        <v>27800</v>
      </c>
      <c r="J404" s="113"/>
    </row>
    <row r="405" spans="4:10" x14ac:dyDescent="0.3">
      <c r="G405">
        <v>600</v>
      </c>
      <c r="H405" s="114">
        <v>29880</v>
      </c>
      <c r="I405" s="114">
        <v>31430</v>
      </c>
      <c r="J405" s="113"/>
    </row>
    <row r="406" spans="4:10" x14ac:dyDescent="0.3">
      <c r="D406" t="s">
        <v>233</v>
      </c>
      <c r="E406">
        <v>1200</v>
      </c>
      <c r="F406">
        <v>2200</v>
      </c>
      <c r="G406">
        <v>440</v>
      </c>
      <c r="H406" s="114">
        <v>19840</v>
      </c>
      <c r="I406" s="114">
        <v>20860</v>
      </c>
      <c r="J406" s="113"/>
    </row>
    <row r="407" spans="4:10" x14ac:dyDescent="0.3">
      <c r="G407">
        <v>600</v>
      </c>
      <c r="H407" s="114">
        <v>21880</v>
      </c>
      <c r="I407" s="114">
        <v>23140</v>
      </c>
      <c r="J407" s="113"/>
    </row>
    <row r="408" spans="4:10" x14ac:dyDescent="0.3">
      <c r="F408">
        <v>2400</v>
      </c>
      <c r="G408">
        <v>440</v>
      </c>
      <c r="H408" s="114">
        <v>21470</v>
      </c>
      <c r="I408" s="114">
        <v>22570</v>
      </c>
      <c r="J408" s="113"/>
    </row>
    <row r="409" spans="4:10" x14ac:dyDescent="0.3">
      <c r="G409">
        <v>600</v>
      </c>
      <c r="H409" s="114">
        <v>23830</v>
      </c>
      <c r="I409" s="114">
        <v>25190</v>
      </c>
      <c r="J409" s="113"/>
    </row>
    <row r="410" spans="4:10" x14ac:dyDescent="0.3">
      <c r="E410">
        <v>1400</v>
      </c>
      <c r="F410">
        <v>2200</v>
      </c>
      <c r="G410">
        <v>440</v>
      </c>
      <c r="H410" s="114">
        <v>22780</v>
      </c>
      <c r="I410" s="114">
        <v>23870</v>
      </c>
      <c r="J410" s="113"/>
    </row>
    <row r="411" spans="4:10" x14ac:dyDescent="0.3">
      <c r="G411">
        <v>600</v>
      </c>
      <c r="H411" s="114">
        <v>25030</v>
      </c>
      <c r="I411" s="114">
        <v>26390</v>
      </c>
      <c r="J411" s="113"/>
    </row>
    <row r="412" spans="4:10" x14ac:dyDescent="0.3">
      <c r="F412">
        <v>2400</v>
      </c>
      <c r="G412">
        <v>440</v>
      </c>
      <c r="H412" s="114">
        <v>24190</v>
      </c>
      <c r="I412" s="114">
        <v>25300</v>
      </c>
      <c r="J412" s="113"/>
    </row>
    <row r="413" spans="4:10" x14ac:dyDescent="0.3">
      <c r="G413">
        <v>600</v>
      </c>
      <c r="H413" s="114">
        <v>27270</v>
      </c>
      <c r="I413" s="114">
        <v>28760</v>
      </c>
      <c r="J413" s="113"/>
    </row>
    <row r="414" spans="4:10" x14ac:dyDescent="0.3">
      <c r="E414">
        <v>1600</v>
      </c>
      <c r="F414">
        <v>2200</v>
      </c>
      <c r="G414">
        <v>440</v>
      </c>
      <c r="H414" s="114">
        <v>25020</v>
      </c>
      <c r="I414" s="114">
        <v>26180</v>
      </c>
      <c r="J414" s="113"/>
    </row>
    <row r="415" spans="4:10" x14ac:dyDescent="0.3">
      <c r="G415">
        <v>600</v>
      </c>
      <c r="H415" s="114">
        <v>27450</v>
      </c>
      <c r="I415" s="114">
        <v>28890</v>
      </c>
      <c r="J415" s="113"/>
    </row>
    <row r="416" spans="4:10" x14ac:dyDescent="0.3">
      <c r="F416">
        <v>2400</v>
      </c>
      <c r="G416">
        <v>440</v>
      </c>
      <c r="H416" s="114">
        <v>26610</v>
      </c>
      <c r="I416" s="114">
        <v>27800</v>
      </c>
      <c r="J416" s="113"/>
    </row>
    <row r="417" spans="4:10" x14ac:dyDescent="0.3">
      <c r="G417">
        <v>600</v>
      </c>
      <c r="H417" s="114">
        <v>29880</v>
      </c>
      <c r="I417" s="114">
        <v>31430</v>
      </c>
      <c r="J417" s="113"/>
    </row>
    <row r="418" spans="4:10" x14ac:dyDescent="0.3">
      <c r="D418" t="s">
        <v>234</v>
      </c>
      <c r="E418">
        <v>1200</v>
      </c>
      <c r="F418">
        <v>2200</v>
      </c>
      <c r="G418">
        <v>440</v>
      </c>
      <c r="H418" s="114">
        <v>19840</v>
      </c>
      <c r="I418" s="114">
        <v>20860</v>
      </c>
      <c r="J418" s="113"/>
    </row>
    <row r="419" spans="4:10" x14ac:dyDescent="0.3">
      <c r="G419">
        <v>600</v>
      </c>
      <c r="H419" s="114">
        <v>21880</v>
      </c>
      <c r="I419" s="114">
        <v>23140</v>
      </c>
      <c r="J419" s="113"/>
    </row>
    <row r="420" spans="4:10" x14ac:dyDescent="0.3">
      <c r="F420">
        <v>2400</v>
      </c>
      <c r="G420">
        <v>440</v>
      </c>
      <c r="H420" s="114">
        <v>21470</v>
      </c>
      <c r="I420" s="114">
        <v>22570</v>
      </c>
      <c r="J420" s="113"/>
    </row>
    <row r="421" spans="4:10" x14ac:dyDescent="0.3">
      <c r="G421">
        <v>600</v>
      </c>
      <c r="H421" s="114">
        <v>23830</v>
      </c>
      <c r="I421" s="114">
        <v>25190</v>
      </c>
      <c r="J421" s="113"/>
    </row>
    <row r="422" spans="4:10" x14ac:dyDescent="0.3">
      <c r="E422">
        <v>1400</v>
      </c>
      <c r="F422">
        <v>2200</v>
      </c>
      <c r="G422">
        <v>440</v>
      </c>
      <c r="H422" s="114">
        <v>22780</v>
      </c>
      <c r="I422" s="114">
        <v>23870</v>
      </c>
      <c r="J422" s="113"/>
    </row>
    <row r="423" spans="4:10" x14ac:dyDescent="0.3">
      <c r="G423">
        <v>600</v>
      </c>
      <c r="H423" s="114">
        <v>25030</v>
      </c>
      <c r="I423" s="114">
        <v>26390</v>
      </c>
      <c r="J423" s="113"/>
    </row>
    <row r="424" spans="4:10" x14ac:dyDescent="0.3">
      <c r="F424">
        <v>2400</v>
      </c>
      <c r="G424">
        <v>440</v>
      </c>
      <c r="H424" s="114">
        <v>24190</v>
      </c>
      <c r="I424" s="114">
        <v>25300</v>
      </c>
      <c r="J424" s="113"/>
    </row>
    <row r="425" spans="4:10" x14ac:dyDescent="0.3">
      <c r="G425">
        <v>600</v>
      </c>
      <c r="H425" s="114">
        <v>27270</v>
      </c>
      <c r="I425" s="114">
        <v>28760</v>
      </c>
      <c r="J425" s="113"/>
    </row>
    <row r="426" spans="4:10" x14ac:dyDescent="0.3">
      <c r="E426">
        <v>1600</v>
      </c>
      <c r="F426">
        <v>2200</v>
      </c>
      <c r="G426">
        <v>440</v>
      </c>
      <c r="H426" s="114">
        <v>25020</v>
      </c>
      <c r="I426" s="114">
        <v>26180</v>
      </c>
      <c r="J426" s="113"/>
    </row>
    <row r="427" spans="4:10" x14ac:dyDescent="0.3">
      <c r="G427">
        <v>600</v>
      </c>
      <c r="H427" s="114">
        <v>27450</v>
      </c>
      <c r="I427" s="114">
        <v>28890</v>
      </c>
      <c r="J427" s="113"/>
    </row>
    <row r="428" spans="4:10" x14ac:dyDescent="0.3">
      <c r="F428">
        <v>2400</v>
      </c>
      <c r="G428">
        <v>440</v>
      </c>
      <c r="H428" s="114">
        <v>26610</v>
      </c>
      <c r="I428" s="114">
        <v>27800</v>
      </c>
      <c r="J428" s="113"/>
    </row>
    <row r="429" spans="4:10" x14ac:dyDescent="0.3">
      <c r="G429">
        <v>600</v>
      </c>
      <c r="H429" s="114">
        <v>29880</v>
      </c>
      <c r="I429" s="114">
        <v>31430</v>
      </c>
      <c r="J429" s="113"/>
    </row>
    <row r="430" spans="4:10" x14ac:dyDescent="0.3">
      <c r="D430" t="s">
        <v>235</v>
      </c>
      <c r="E430">
        <v>1200</v>
      </c>
      <c r="F430">
        <v>2200</v>
      </c>
      <c r="G430">
        <v>440</v>
      </c>
      <c r="H430" s="114">
        <v>19840</v>
      </c>
      <c r="I430" s="114">
        <v>20860</v>
      </c>
      <c r="J430" s="113"/>
    </row>
    <row r="431" spans="4:10" x14ac:dyDescent="0.3">
      <c r="G431">
        <v>600</v>
      </c>
      <c r="H431" s="114">
        <v>21880</v>
      </c>
      <c r="I431" s="114">
        <v>23140</v>
      </c>
      <c r="J431" s="113"/>
    </row>
    <row r="432" spans="4:10" x14ac:dyDescent="0.3">
      <c r="F432">
        <v>2400</v>
      </c>
      <c r="G432">
        <v>440</v>
      </c>
      <c r="H432" s="114">
        <v>21470</v>
      </c>
      <c r="I432" s="114">
        <v>22570</v>
      </c>
      <c r="J432" s="113"/>
    </row>
    <row r="433" spans="4:10" x14ac:dyDescent="0.3">
      <c r="G433">
        <v>600</v>
      </c>
      <c r="H433" s="114">
        <v>23830</v>
      </c>
      <c r="I433" s="114">
        <v>25190</v>
      </c>
      <c r="J433" s="113"/>
    </row>
    <row r="434" spans="4:10" x14ac:dyDescent="0.3">
      <c r="E434">
        <v>1400</v>
      </c>
      <c r="F434">
        <v>2200</v>
      </c>
      <c r="G434">
        <v>440</v>
      </c>
      <c r="H434" s="114">
        <v>22780</v>
      </c>
      <c r="I434" s="114">
        <v>23870</v>
      </c>
      <c r="J434" s="113"/>
    </row>
    <row r="435" spans="4:10" x14ac:dyDescent="0.3">
      <c r="G435">
        <v>600</v>
      </c>
      <c r="H435" s="114">
        <v>25030</v>
      </c>
      <c r="I435" s="114">
        <v>26390</v>
      </c>
      <c r="J435" s="113"/>
    </row>
    <row r="436" spans="4:10" x14ac:dyDescent="0.3">
      <c r="F436">
        <v>2400</v>
      </c>
      <c r="G436">
        <v>440</v>
      </c>
      <c r="H436" s="114">
        <v>24190</v>
      </c>
      <c r="I436" s="114">
        <v>25300</v>
      </c>
      <c r="J436" s="113"/>
    </row>
    <row r="437" spans="4:10" x14ac:dyDescent="0.3">
      <c r="G437">
        <v>600</v>
      </c>
      <c r="H437" s="114">
        <v>27270</v>
      </c>
      <c r="I437" s="114">
        <v>28760</v>
      </c>
      <c r="J437" s="113"/>
    </row>
    <row r="438" spans="4:10" x14ac:dyDescent="0.3">
      <c r="E438">
        <v>1600</v>
      </c>
      <c r="F438">
        <v>2200</v>
      </c>
      <c r="G438">
        <v>440</v>
      </c>
      <c r="H438" s="114">
        <v>25020</v>
      </c>
      <c r="I438" s="114">
        <v>26180</v>
      </c>
      <c r="J438" s="113"/>
    </row>
    <row r="439" spans="4:10" x14ac:dyDescent="0.3">
      <c r="G439">
        <v>600</v>
      </c>
      <c r="H439" s="114">
        <v>27450</v>
      </c>
      <c r="I439" s="114">
        <v>28890</v>
      </c>
      <c r="J439" s="113"/>
    </row>
    <row r="440" spans="4:10" x14ac:dyDescent="0.3">
      <c r="F440">
        <v>2400</v>
      </c>
      <c r="G440">
        <v>440</v>
      </c>
      <c r="H440" s="114">
        <v>26610</v>
      </c>
      <c r="I440" s="114">
        <v>27800</v>
      </c>
      <c r="J440" s="113"/>
    </row>
    <row r="441" spans="4:10" x14ac:dyDescent="0.3">
      <c r="G441">
        <v>600</v>
      </c>
      <c r="H441" s="114">
        <v>29880</v>
      </c>
      <c r="I441" s="114">
        <v>31430</v>
      </c>
      <c r="J441" s="113"/>
    </row>
    <row r="442" spans="4:10" x14ac:dyDescent="0.3">
      <c r="D442" t="s">
        <v>236</v>
      </c>
      <c r="E442">
        <v>1200</v>
      </c>
      <c r="F442">
        <v>2200</v>
      </c>
      <c r="G442">
        <v>440</v>
      </c>
      <c r="H442" s="114">
        <v>19840</v>
      </c>
      <c r="I442" s="114">
        <v>20860</v>
      </c>
      <c r="J442" s="113"/>
    </row>
    <row r="443" spans="4:10" x14ac:dyDescent="0.3">
      <c r="G443">
        <v>600</v>
      </c>
      <c r="H443" s="114">
        <v>21880</v>
      </c>
      <c r="I443" s="114">
        <v>23140</v>
      </c>
      <c r="J443" s="113"/>
    </row>
    <row r="444" spans="4:10" x14ac:dyDescent="0.3">
      <c r="F444">
        <v>2400</v>
      </c>
      <c r="G444">
        <v>440</v>
      </c>
      <c r="H444" s="114">
        <v>21470</v>
      </c>
      <c r="I444" s="114">
        <v>22570</v>
      </c>
      <c r="J444" s="113"/>
    </row>
    <row r="445" spans="4:10" x14ac:dyDescent="0.3">
      <c r="G445">
        <v>600</v>
      </c>
      <c r="H445" s="114">
        <v>23830</v>
      </c>
      <c r="I445" s="114">
        <v>25190</v>
      </c>
      <c r="J445" s="113"/>
    </row>
    <row r="446" spans="4:10" x14ac:dyDescent="0.3">
      <c r="E446">
        <v>1400</v>
      </c>
      <c r="F446">
        <v>2200</v>
      </c>
      <c r="G446">
        <v>440</v>
      </c>
      <c r="H446" s="114">
        <v>22780</v>
      </c>
      <c r="I446" s="114">
        <v>23870</v>
      </c>
      <c r="J446" s="113"/>
    </row>
    <row r="447" spans="4:10" x14ac:dyDescent="0.3">
      <c r="G447">
        <v>600</v>
      </c>
      <c r="H447" s="114">
        <v>25030</v>
      </c>
      <c r="I447" s="114">
        <v>26390</v>
      </c>
      <c r="J447" s="113"/>
    </row>
    <row r="448" spans="4:10" x14ac:dyDescent="0.3">
      <c r="F448">
        <v>2400</v>
      </c>
      <c r="G448">
        <v>440</v>
      </c>
      <c r="H448" s="114">
        <v>24190</v>
      </c>
      <c r="I448" s="114">
        <v>25300</v>
      </c>
      <c r="J448" s="113"/>
    </row>
    <row r="449" spans="4:10" x14ac:dyDescent="0.3">
      <c r="G449">
        <v>600</v>
      </c>
      <c r="H449" s="114">
        <v>27270</v>
      </c>
      <c r="I449" s="114">
        <v>28760</v>
      </c>
      <c r="J449" s="113"/>
    </row>
    <row r="450" spans="4:10" x14ac:dyDescent="0.3">
      <c r="E450">
        <v>1600</v>
      </c>
      <c r="F450">
        <v>2200</v>
      </c>
      <c r="G450">
        <v>440</v>
      </c>
      <c r="H450" s="114">
        <v>25020</v>
      </c>
      <c r="I450" s="114">
        <v>26180</v>
      </c>
      <c r="J450" s="113"/>
    </row>
    <row r="451" spans="4:10" x14ac:dyDescent="0.3">
      <c r="G451">
        <v>600</v>
      </c>
      <c r="H451" s="114">
        <v>27450</v>
      </c>
      <c r="I451" s="114">
        <v>28890</v>
      </c>
      <c r="J451" s="113"/>
    </row>
    <row r="452" spans="4:10" x14ac:dyDescent="0.3">
      <c r="F452">
        <v>2400</v>
      </c>
      <c r="G452">
        <v>440</v>
      </c>
      <c r="H452" s="114">
        <v>26610</v>
      </c>
      <c r="I452" s="114">
        <v>27800</v>
      </c>
      <c r="J452" s="113"/>
    </row>
    <row r="453" spans="4:10" x14ac:dyDescent="0.3">
      <c r="G453">
        <v>600</v>
      </c>
      <c r="H453" s="114">
        <v>29880</v>
      </c>
      <c r="I453" s="114">
        <v>31430</v>
      </c>
      <c r="J453" s="113"/>
    </row>
    <row r="454" spans="4:10" x14ac:dyDescent="0.3">
      <c r="D454" t="s">
        <v>237</v>
      </c>
      <c r="E454">
        <v>1200</v>
      </c>
      <c r="F454">
        <v>2200</v>
      </c>
      <c r="G454">
        <v>440</v>
      </c>
      <c r="H454" s="114">
        <v>19840</v>
      </c>
      <c r="I454" s="114">
        <v>20860</v>
      </c>
      <c r="J454" s="113"/>
    </row>
    <row r="455" spans="4:10" x14ac:dyDescent="0.3">
      <c r="G455">
        <v>600</v>
      </c>
      <c r="H455" s="114">
        <v>21880</v>
      </c>
      <c r="I455" s="114">
        <v>23140</v>
      </c>
      <c r="J455" s="113"/>
    </row>
    <row r="456" spans="4:10" x14ac:dyDescent="0.3">
      <c r="F456">
        <v>2400</v>
      </c>
      <c r="G456">
        <v>440</v>
      </c>
      <c r="H456" s="114">
        <v>21470</v>
      </c>
      <c r="I456" s="114">
        <v>22570</v>
      </c>
      <c r="J456" s="113"/>
    </row>
    <row r="457" spans="4:10" x14ac:dyDescent="0.3">
      <c r="G457">
        <v>600</v>
      </c>
      <c r="H457" s="114">
        <v>23830</v>
      </c>
      <c r="I457" s="114">
        <v>25190</v>
      </c>
      <c r="J457" s="113"/>
    </row>
    <row r="458" spans="4:10" x14ac:dyDescent="0.3">
      <c r="E458">
        <v>1400</v>
      </c>
      <c r="F458">
        <v>2200</v>
      </c>
      <c r="G458">
        <v>440</v>
      </c>
      <c r="H458" s="114">
        <v>22780</v>
      </c>
      <c r="I458" s="114">
        <v>23870</v>
      </c>
      <c r="J458" s="113"/>
    </row>
    <row r="459" spans="4:10" x14ac:dyDescent="0.3">
      <c r="G459">
        <v>600</v>
      </c>
      <c r="H459" s="114">
        <v>25030</v>
      </c>
      <c r="I459" s="114">
        <v>26390</v>
      </c>
      <c r="J459" s="113"/>
    </row>
    <row r="460" spans="4:10" x14ac:dyDescent="0.3">
      <c r="F460">
        <v>2400</v>
      </c>
      <c r="G460">
        <v>440</v>
      </c>
      <c r="H460" s="114">
        <v>24190</v>
      </c>
      <c r="I460" s="114">
        <v>25300</v>
      </c>
      <c r="J460" s="113"/>
    </row>
    <row r="461" spans="4:10" x14ac:dyDescent="0.3">
      <c r="G461">
        <v>600</v>
      </c>
      <c r="H461" s="114">
        <v>27270</v>
      </c>
      <c r="I461" s="114">
        <v>28760</v>
      </c>
      <c r="J461" s="113"/>
    </row>
    <row r="462" spans="4:10" x14ac:dyDescent="0.3">
      <c r="E462">
        <v>1600</v>
      </c>
      <c r="F462">
        <v>2200</v>
      </c>
      <c r="G462">
        <v>440</v>
      </c>
      <c r="H462" s="114">
        <v>25020</v>
      </c>
      <c r="I462" s="114">
        <v>26180</v>
      </c>
      <c r="J462" s="113"/>
    </row>
    <row r="463" spans="4:10" x14ac:dyDescent="0.3">
      <c r="G463">
        <v>600</v>
      </c>
      <c r="H463" s="114">
        <v>27450</v>
      </c>
      <c r="I463" s="114">
        <v>28890</v>
      </c>
      <c r="J463" s="113"/>
    </row>
    <row r="464" spans="4:10" x14ac:dyDescent="0.3">
      <c r="F464">
        <v>2400</v>
      </c>
      <c r="G464">
        <v>440</v>
      </c>
      <c r="H464" s="114">
        <v>26610</v>
      </c>
      <c r="I464" s="114">
        <v>27800</v>
      </c>
      <c r="J464" s="113"/>
    </row>
    <row r="465" spans="4:10" x14ac:dyDescent="0.3">
      <c r="G465">
        <v>600</v>
      </c>
      <c r="H465" s="114">
        <v>29880</v>
      </c>
      <c r="I465" s="114">
        <v>31430</v>
      </c>
      <c r="J465" s="113"/>
    </row>
    <row r="466" spans="4:10" x14ac:dyDescent="0.3">
      <c r="D466" t="s">
        <v>238</v>
      </c>
      <c r="E466">
        <v>1200</v>
      </c>
      <c r="F466">
        <v>2200</v>
      </c>
      <c r="G466">
        <v>440</v>
      </c>
      <c r="H466" s="114">
        <v>19840</v>
      </c>
      <c r="I466" s="114">
        <v>20860</v>
      </c>
      <c r="J466" s="113"/>
    </row>
    <row r="467" spans="4:10" x14ac:dyDescent="0.3">
      <c r="G467">
        <v>600</v>
      </c>
      <c r="H467" s="114">
        <v>21880</v>
      </c>
      <c r="I467" s="114">
        <v>23140</v>
      </c>
      <c r="J467" s="113"/>
    </row>
    <row r="468" spans="4:10" x14ac:dyDescent="0.3">
      <c r="F468">
        <v>2400</v>
      </c>
      <c r="G468">
        <v>440</v>
      </c>
      <c r="H468" s="114">
        <v>21470</v>
      </c>
      <c r="I468" s="114">
        <v>22570</v>
      </c>
      <c r="J468" s="113"/>
    </row>
    <row r="469" spans="4:10" x14ac:dyDescent="0.3">
      <c r="G469">
        <v>600</v>
      </c>
      <c r="H469" s="114">
        <v>23830</v>
      </c>
      <c r="I469" s="114">
        <v>25190</v>
      </c>
      <c r="J469" s="113"/>
    </row>
    <row r="470" spans="4:10" x14ac:dyDescent="0.3">
      <c r="E470">
        <v>1400</v>
      </c>
      <c r="F470">
        <v>2200</v>
      </c>
      <c r="G470">
        <v>440</v>
      </c>
      <c r="H470" s="114">
        <v>22780</v>
      </c>
      <c r="I470" s="114">
        <v>23870</v>
      </c>
      <c r="J470" s="113"/>
    </row>
    <row r="471" spans="4:10" x14ac:dyDescent="0.3">
      <c r="G471">
        <v>600</v>
      </c>
      <c r="H471" s="114">
        <v>25030</v>
      </c>
      <c r="I471" s="114">
        <v>26390</v>
      </c>
      <c r="J471" s="113"/>
    </row>
    <row r="472" spans="4:10" x14ac:dyDescent="0.3">
      <c r="F472">
        <v>2400</v>
      </c>
      <c r="G472">
        <v>440</v>
      </c>
      <c r="H472" s="114">
        <v>24190</v>
      </c>
      <c r="I472" s="114">
        <v>25300</v>
      </c>
      <c r="J472" s="113"/>
    </row>
    <row r="473" spans="4:10" x14ac:dyDescent="0.3">
      <c r="G473">
        <v>600</v>
      </c>
      <c r="H473" s="114">
        <v>27270</v>
      </c>
      <c r="I473" s="114">
        <v>28760</v>
      </c>
      <c r="J473" s="113"/>
    </row>
    <row r="474" spans="4:10" x14ac:dyDescent="0.3">
      <c r="E474">
        <v>1600</v>
      </c>
      <c r="F474">
        <v>2200</v>
      </c>
      <c r="G474">
        <v>440</v>
      </c>
      <c r="H474" s="114">
        <v>25020</v>
      </c>
      <c r="I474" s="114">
        <v>26180</v>
      </c>
      <c r="J474" s="113"/>
    </row>
    <row r="475" spans="4:10" x14ac:dyDescent="0.3">
      <c r="G475">
        <v>600</v>
      </c>
      <c r="H475" s="114">
        <v>27450</v>
      </c>
      <c r="I475" s="114">
        <v>28890</v>
      </c>
      <c r="J475" s="113"/>
    </row>
    <row r="476" spans="4:10" x14ac:dyDescent="0.3">
      <c r="F476">
        <v>2400</v>
      </c>
      <c r="G476">
        <v>440</v>
      </c>
      <c r="H476" s="114">
        <v>26610</v>
      </c>
      <c r="I476" s="114">
        <v>27800</v>
      </c>
      <c r="J476" s="113"/>
    </row>
    <row r="477" spans="4:10" x14ac:dyDescent="0.3">
      <c r="G477">
        <v>600</v>
      </c>
      <c r="H477" s="114">
        <v>29880</v>
      </c>
      <c r="I477" s="114">
        <v>31430</v>
      </c>
      <c r="J477" s="113"/>
    </row>
    <row r="478" spans="4:10" x14ac:dyDescent="0.3">
      <c r="D478" t="s">
        <v>239</v>
      </c>
      <c r="E478">
        <v>1200</v>
      </c>
      <c r="F478">
        <v>2200</v>
      </c>
      <c r="G478">
        <v>440</v>
      </c>
      <c r="H478" s="114">
        <v>19840</v>
      </c>
      <c r="I478" s="114">
        <v>20860</v>
      </c>
      <c r="J478" s="113"/>
    </row>
    <row r="479" spans="4:10" x14ac:dyDescent="0.3">
      <c r="G479">
        <v>600</v>
      </c>
      <c r="H479" s="114">
        <v>21880</v>
      </c>
      <c r="I479" s="114">
        <v>23140</v>
      </c>
      <c r="J479" s="113"/>
    </row>
    <row r="480" spans="4:10" x14ac:dyDescent="0.3">
      <c r="F480">
        <v>2400</v>
      </c>
      <c r="G480">
        <v>440</v>
      </c>
      <c r="H480" s="114">
        <v>21470</v>
      </c>
      <c r="I480" s="114">
        <v>22570</v>
      </c>
      <c r="J480" s="113"/>
    </row>
    <row r="481" spans="4:10" x14ac:dyDescent="0.3">
      <c r="G481">
        <v>600</v>
      </c>
      <c r="H481" s="114">
        <v>23830</v>
      </c>
      <c r="I481" s="114">
        <v>25190</v>
      </c>
      <c r="J481" s="113"/>
    </row>
    <row r="482" spans="4:10" x14ac:dyDescent="0.3">
      <c r="E482">
        <v>1400</v>
      </c>
      <c r="F482">
        <v>2200</v>
      </c>
      <c r="G482">
        <v>440</v>
      </c>
      <c r="H482" s="114">
        <v>22780</v>
      </c>
      <c r="I482" s="114">
        <v>23870</v>
      </c>
      <c r="J482" s="113"/>
    </row>
    <row r="483" spans="4:10" x14ac:dyDescent="0.3">
      <c r="G483">
        <v>600</v>
      </c>
      <c r="H483" s="114">
        <v>25030</v>
      </c>
      <c r="I483" s="114">
        <v>26390</v>
      </c>
      <c r="J483" s="113"/>
    </row>
    <row r="484" spans="4:10" x14ac:dyDescent="0.3">
      <c r="F484">
        <v>2400</v>
      </c>
      <c r="G484">
        <v>440</v>
      </c>
      <c r="H484" s="114">
        <v>24190</v>
      </c>
      <c r="I484" s="114">
        <v>25300</v>
      </c>
      <c r="J484" s="113"/>
    </row>
    <row r="485" spans="4:10" x14ac:dyDescent="0.3">
      <c r="G485">
        <v>600</v>
      </c>
      <c r="H485" s="114">
        <v>27270</v>
      </c>
      <c r="I485" s="114">
        <v>28760</v>
      </c>
      <c r="J485" s="113"/>
    </row>
    <row r="486" spans="4:10" x14ac:dyDescent="0.3">
      <c r="E486">
        <v>1600</v>
      </c>
      <c r="F486">
        <v>2200</v>
      </c>
      <c r="G486">
        <v>440</v>
      </c>
      <c r="H486" s="114">
        <v>25020</v>
      </c>
      <c r="I486" s="114">
        <v>26180</v>
      </c>
      <c r="J486" s="113"/>
    </row>
    <row r="487" spans="4:10" x14ac:dyDescent="0.3">
      <c r="G487">
        <v>600</v>
      </c>
      <c r="H487" s="114">
        <v>27450</v>
      </c>
      <c r="I487" s="114">
        <v>28890</v>
      </c>
      <c r="J487" s="113"/>
    </row>
    <row r="488" spans="4:10" x14ac:dyDescent="0.3">
      <c r="F488">
        <v>2400</v>
      </c>
      <c r="G488">
        <v>440</v>
      </c>
      <c r="H488" s="114">
        <v>26610</v>
      </c>
      <c r="I488" s="114">
        <v>27800</v>
      </c>
      <c r="J488" s="113"/>
    </row>
    <row r="489" spans="4:10" x14ac:dyDescent="0.3">
      <c r="G489">
        <v>600</v>
      </c>
      <c r="H489" s="114">
        <v>29880</v>
      </c>
      <c r="I489" s="114">
        <v>31430</v>
      </c>
      <c r="J489" s="113"/>
    </row>
    <row r="490" spans="4:10" x14ac:dyDescent="0.3">
      <c r="D490" t="s">
        <v>240</v>
      </c>
      <c r="E490">
        <v>1200</v>
      </c>
      <c r="F490">
        <v>2200</v>
      </c>
      <c r="G490">
        <v>440</v>
      </c>
      <c r="H490" s="114">
        <v>19840</v>
      </c>
      <c r="I490" s="114">
        <v>20860</v>
      </c>
      <c r="J490" s="113"/>
    </row>
    <row r="491" spans="4:10" x14ac:dyDescent="0.3">
      <c r="G491">
        <v>600</v>
      </c>
      <c r="H491" s="114">
        <v>21880</v>
      </c>
      <c r="I491" s="114">
        <v>23140</v>
      </c>
      <c r="J491" s="113"/>
    </row>
    <row r="492" spans="4:10" x14ac:dyDescent="0.3">
      <c r="F492">
        <v>2400</v>
      </c>
      <c r="G492">
        <v>440</v>
      </c>
      <c r="H492" s="114">
        <v>21470</v>
      </c>
      <c r="I492" s="114">
        <v>22570</v>
      </c>
      <c r="J492" s="113"/>
    </row>
    <row r="493" spans="4:10" x14ac:dyDescent="0.3">
      <c r="G493">
        <v>600</v>
      </c>
      <c r="H493" s="114">
        <v>23830</v>
      </c>
      <c r="I493" s="114">
        <v>25190</v>
      </c>
      <c r="J493" s="113"/>
    </row>
    <row r="494" spans="4:10" x14ac:dyDescent="0.3">
      <c r="E494">
        <v>1400</v>
      </c>
      <c r="F494">
        <v>2200</v>
      </c>
      <c r="G494">
        <v>440</v>
      </c>
      <c r="H494" s="114">
        <v>22780</v>
      </c>
      <c r="I494" s="114">
        <v>23870</v>
      </c>
      <c r="J494" s="113"/>
    </row>
    <row r="495" spans="4:10" x14ac:dyDescent="0.3">
      <c r="G495">
        <v>600</v>
      </c>
      <c r="H495" s="114">
        <v>25030</v>
      </c>
      <c r="I495" s="114">
        <v>26390</v>
      </c>
      <c r="J495" s="113"/>
    </row>
    <row r="496" spans="4:10" x14ac:dyDescent="0.3">
      <c r="F496">
        <v>2400</v>
      </c>
      <c r="G496">
        <v>440</v>
      </c>
      <c r="H496" s="114">
        <v>24190</v>
      </c>
      <c r="I496" s="114">
        <v>25300</v>
      </c>
      <c r="J496" s="113"/>
    </row>
    <row r="497" spans="4:10" x14ac:dyDescent="0.3">
      <c r="G497">
        <v>600</v>
      </c>
      <c r="H497" s="114">
        <v>27270</v>
      </c>
      <c r="I497" s="114">
        <v>28760</v>
      </c>
      <c r="J497" s="113"/>
    </row>
    <row r="498" spans="4:10" x14ac:dyDescent="0.3">
      <c r="E498">
        <v>1600</v>
      </c>
      <c r="F498">
        <v>2200</v>
      </c>
      <c r="G498">
        <v>440</v>
      </c>
      <c r="H498" s="114">
        <v>25020</v>
      </c>
      <c r="I498" s="114">
        <v>26180</v>
      </c>
      <c r="J498" s="113"/>
    </row>
    <row r="499" spans="4:10" x14ac:dyDescent="0.3">
      <c r="G499">
        <v>600</v>
      </c>
      <c r="H499" s="114">
        <v>27450</v>
      </c>
      <c r="I499" s="114">
        <v>28890</v>
      </c>
      <c r="J499" s="113"/>
    </row>
    <row r="500" spans="4:10" x14ac:dyDescent="0.3">
      <c r="F500">
        <v>2400</v>
      </c>
      <c r="G500">
        <v>440</v>
      </c>
      <c r="H500" s="114">
        <v>26610</v>
      </c>
      <c r="I500" s="114">
        <v>27800</v>
      </c>
      <c r="J500" s="113"/>
    </row>
    <row r="501" spans="4:10" x14ac:dyDescent="0.3">
      <c r="G501">
        <v>600</v>
      </c>
      <c r="H501" s="114">
        <v>29880</v>
      </c>
      <c r="I501" s="114">
        <v>31430</v>
      </c>
      <c r="J501" s="113"/>
    </row>
    <row r="502" spans="4:10" x14ac:dyDescent="0.3">
      <c r="D502" t="s">
        <v>241</v>
      </c>
      <c r="E502">
        <v>1200</v>
      </c>
      <c r="F502">
        <v>2200</v>
      </c>
      <c r="G502">
        <v>440</v>
      </c>
      <c r="H502" s="114">
        <v>19840</v>
      </c>
      <c r="I502" s="114">
        <v>20860</v>
      </c>
      <c r="J502" s="113"/>
    </row>
    <row r="503" spans="4:10" x14ac:dyDescent="0.3">
      <c r="G503">
        <v>600</v>
      </c>
      <c r="H503" s="114">
        <v>21880</v>
      </c>
      <c r="I503" s="114">
        <v>23140</v>
      </c>
      <c r="J503" s="113"/>
    </row>
    <row r="504" spans="4:10" x14ac:dyDescent="0.3">
      <c r="F504">
        <v>2400</v>
      </c>
      <c r="G504">
        <v>440</v>
      </c>
      <c r="H504" s="114">
        <v>21470</v>
      </c>
      <c r="I504" s="114">
        <v>22570</v>
      </c>
      <c r="J504" s="113"/>
    </row>
    <row r="505" spans="4:10" x14ac:dyDescent="0.3">
      <c r="G505">
        <v>600</v>
      </c>
      <c r="H505" s="114">
        <v>23830</v>
      </c>
      <c r="I505" s="114">
        <v>25190</v>
      </c>
      <c r="J505" s="113"/>
    </row>
    <row r="506" spans="4:10" x14ac:dyDescent="0.3">
      <c r="E506">
        <v>1400</v>
      </c>
      <c r="F506">
        <v>2200</v>
      </c>
      <c r="G506">
        <v>440</v>
      </c>
      <c r="H506" s="114">
        <v>22780</v>
      </c>
      <c r="I506" s="114">
        <v>23870</v>
      </c>
      <c r="J506" s="113"/>
    </row>
    <row r="507" spans="4:10" x14ac:dyDescent="0.3">
      <c r="G507">
        <v>600</v>
      </c>
      <c r="H507" s="114">
        <v>25030</v>
      </c>
      <c r="I507" s="114">
        <v>26390</v>
      </c>
      <c r="J507" s="113"/>
    </row>
    <row r="508" spans="4:10" x14ac:dyDescent="0.3">
      <c r="F508">
        <v>2400</v>
      </c>
      <c r="G508">
        <v>440</v>
      </c>
      <c r="H508" s="114">
        <v>24190</v>
      </c>
      <c r="I508" s="114">
        <v>25300</v>
      </c>
      <c r="J508" s="113"/>
    </row>
    <row r="509" spans="4:10" x14ac:dyDescent="0.3">
      <c r="G509">
        <v>600</v>
      </c>
      <c r="H509" s="114">
        <v>27270</v>
      </c>
      <c r="I509" s="114">
        <v>28760</v>
      </c>
      <c r="J509" s="113"/>
    </row>
    <row r="510" spans="4:10" x14ac:dyDescent="0.3">
      <c r="E510">
        <v>1600</v>
      </c>
      <c r="F510">
        <v>2200</v>
      </c>
      <c r="G510">
        <v>440</v>
      </c>
      <c r="H510" s="114">
        <v>25020</v>
      </c>
      <c r="I510" s="114">
        <v>26180</v>
      </c>
      <c r="J510" s="113"/>
    </row>
    <row r="511" spans="4:10" x14ac:dyDescent="0.3">
      <c r="G511">
        <v>600</v>
      </c>
      <c r="H511" s="114">
        <v>27450</v>
      </c>
      <c r="I511" s="114">
        <v>28890</v>
      </c>
      <c r="J511" s="113"/>
    </row>
    <row r="512" spans="4:10" x14ac:dyDescent="0.3">
      <c r="F512">
        <v>2400</v>
      </c>
      <c r="G512">
        <v>440</v>
      </c>
      <c r="H512" s="114">
        <v>26610</v>
      </c>
      <c r="I512" s="114">
        <v>27800</v>
      </c>
      <c r="J512" s="113"/>
    </row>
    <row r="513" spans="4:10" x14ac:dyDescent="0.3">
      <c r="G513">
        <v>600</v>
      </c>
      <c r="H513" s="114">
        <v>29880</v>
      </c>
      <c r="I513" s="114">
        <v>31430</v>
      </c>
      <c r="J513" s="113"/>
    </row>
    <row r="514" spans="4:10" x14ac:dyDescent="0.3">
      <c r="D514" t="s">
        <v>242</v>
      </c>
      <c r="E514">
        <v>1200</v>
      </c>
      <c r="F514">
        <v>2200</v>
      </c>
      <c r="G514">
        <v>440</v>
      </c>
      <c r="H514" s="114">
        <v>19840</v>
      </c>
      <c r="I514" s="114">
        <v>20860</v>
      </c>
      <c r="J514" s="113"/>
    </row>
    <row r="515" spans="4:10" x14ac:dyDescent="0.3">
      <c r="G515">
        <v>600</v>
      </c>
      <c r="H515" s="114">
        <v>21880</v>
      </c>
      <c r="I515" s="114">
        <v>23140</v>
      </c>
      <c r="J515" s="113"/>
    </row>
    <row r="516" spans="4:10" x14ac:dyDescent="0.3">
      <c r="F516">
        <v>2400</v>
      </c>
      <c r="G516">
        <v>440</v>
      </c>
      <c r="H516" s="114">
        <v>21470</v>
      </c>
      <c r="I516" s="114">
        <v>22570</v>
      </c>
      <c r="J516" s="113"/>
    </row>
    <row r="517" spans="4:10" x14ac:dyDescent="0.3">
      <c r="G517">
        <v>600</v>
      </c>
      <c r="H517" s="114">
        <v>23830</v>
      </c>
      <c r="I517" s="114">
        <v>25190</v>
      </c>
      <c r="J517" s="113"/>
    </row>
    <row r="518" spans="4:10" x14ac:dyDescent="0.3">
      <c r="E518">
        <v>1400</v>
      </c>
      <c r="F518">
        <v>2200</v>
      </c>
      <c r="G518">
        <v>440</v>
      </c>
      <c r="H518" s="114">
        <v>22780</v>
      </c>
      <c r="I518" s="114">
        <v>23870</v>
      </c>
      <c r="J518" s="113"/>
    </row>
    <row r="519" spans="4:10" x14ac:dyDescent="0.3">
      <c r="G519">
        <v>600</v>
      </c>
      <c r="H519" s="114">
        <v>25030</v>
      </c>
      <c r="I519" s="114">
        <v>26390</v>
      </c>
      <c r="J519" s="113"/>
    </row>
    <row r="520" spans="4:10" x14ac:dyDescent="0.3">
      <c r="F520">
        <v>2400</v>
      </c>
      <c r="G520">
        <v>440</v>
      </c>
      <c r="H520" s="114">
        <v>24190</v>
      </c>
      <c r="I520" s="114">
        <v>25300</v>
      </c>
      <c r="J520" s="113"/>
    </row>
    <row r="521" spans="4:10" x14ac:dyDescent="0.3">
      <c r="G521">
        <v>600</v>
      </c>
      <c r="H521" s="114">
        <v>27270</v>
      </c>
      <c r="I521" s="114">
        <v>28760</v>
      </c>
      <c r="J521" s="113"/>
    </row>
    <row r="522" spans="4:10" x14ac:dyDescent="0.3">
      <c r="E522">
        <v>1600</v>
      </c>
      <c r="F522">
        <v>2200</v>
      </c>
      <c r="G522">
        <v>440</v>
      </c>
      <c r="H522" s="114">
        <v>25020</v>
      </c>
      <c r="I522" s="114">
        <v>26180</v>
      </c>
      <c r="J522" s="113"/>
    </row>
    <row r="523" spans="4:10" x14ac:dyDescent="0.3">
      <c r="G523">
        <v>600</v>
      </c>
      <c r="H523" s="114">
        <v>27450</v>
      </c>
      <c r="I523" s="114">
        <v>28890</v>
      </c>
      <c r="J523" s="113"/>
    </row>
    <row r="524" spans="4:10" x14ac:dyDescent="0.3">
      <c r="F524">
        <v>2400</v>
      </c>
      <c r="G524">
        <v>440</v>
      </c>
      <c r="H524" s="114">
        <v>26610</v>
      </c>
      <c r="I524" s="114">
        <v>27800</v>
      </c>
      <c r="J524" s="113"/>
    </row>
    <row r="525" spans="4:10" x14ac:dyDescent="0.3">
      <c r="G525">
        <v>600</v>
      </c>
      <c r="H525" s="114">
        <v>29880</v>
      </c>
      <c r="I525" s="114">
        <v>31430</v>
      </c>
      <c r="J525" s="113"/>
    </row>
    <row r="526" spans="4:10" x14ac:dyDescent="0.3">
      <c r="D526" t="s">
        <v>243</v>
      </c>
      <c r="E526">
        <v>1200</v>
      </c>
      <c r="F526">
        <v>2200</v>
      </c>
      <c r="G526">
        <v>440</v>
      </c>
      <c r="H526" s="114">
        <v>19840</v>
      </c>
      <c r="I526" s="114">
        <v>20860</v>
      </c>
      <c r="J526" s="113"/>
    </row>
    <row r="527" spans="4:10" x14ac:dyDescent="0.3">
      <c r="G527">
        <v>600</v>
      </c>
      <c r="H527" s="114">
        <v>21880</v>
      </c>
      <c r="I527" s="114">
        <v>23140</v>
      </c>
      <c r="J527" s="113"/>
    </row>
    <row r="528" spans="4:10" x14ac:dyDescent="0.3">
      <c r="F528">
        <v>2400</v>
      </c>
      <c r="G528">
        <v>440</v>
      </c>
      <c r="H528" s="114">
        <v>21470</v>
      </c>
      <c r="I528" s="114">
        <v>22570</v>
      </c>
      <c r="J528" s="113"/>
    </row>
    <row r="529" spans="4:10" x14ac:dyDescent="0.3">
      <c r="G529">
        <v>600</v>
      </c>
      <c r="H529" s="114">
        <v>23830</v>
      </c>
      <c r="I529" s="114">
        <v>25190</v>
      </c>
      <c r="J529" s="113"/>
    </row>
    <row r="530" spans="4:10" x14ac:dyDescent="0.3">
      <c r="E530">
        <v>1400</v>
      </c>
      <c r="F530">
        <v>2200</v>
      </c>
      <c r="G530">
        <v>440</v>
      </c>
      <c r="H530" s="114">
        <v>22780</v>
      </c>
      <c r="I530" s="114">
        <v>23870</v>
      </c>
      <c r="J530" s="113"/>
    </row>
    <row r="531" spans="4:10" x14ac:dyDescent="0.3">
      <c r="G531">
        <v>600</v>
      </c>
      <c r="H531" s="114">
        <v>25030</v>
      </c>
      <c r="I531" s="114">
        <v>26390</v>
      </c>
      <c r="J531" s="113"/>
    </row>
    <row r="532" spans="4:10" x14ac:dyDescent="0.3">
      <c r="F532">
        <v>2400</v>
      </c>
      <c r="G532">
        <v>440</v>
      </c>
      <c r="H532" s="114">
        <v>24190</v>
      </c>
      <c r="I532" s="114">
        <v>25300</v>
      </c>
      <c r="J532" s="113"/>
    </row>
    <row r="533" spans="4:10" x14ac:dyDescent="0.3">
      <c r="G533">
        <v>600</v>
      </c>
      <c r="H533" s="114">
        <v>27270</v>
      </c>
      <c r="I533" s="114">
        <v>28760</v>
      </c>
      <c r="J533" s="113"/>
    </row>
    <row r="534" spans="4:10" x14ac:dyDescent="0.3">
      <c r="E534">
        <v>1600</v>
      </c>
      <c r="F534">
        <v>2200</v>
      </c>
      <c r="G534">
        <v>440</v>
      </c>
      <c r="H534" s="114">
        <v>25020</v>
      </c>
      <c r="I534" s="114">
        <v>26180</v>
      </c>
      <c r="J534" s="113"/>
    </row>
    <row r="535" spans="4:10" x14ac:dyDescent="0.3">
      <c r="G535">
        <v>600</v>
      </c>
      <c r="H535" s="114">
        <v>27450</v>
      </c>
      <c r="I535" s="114">
        <v>28890</v>
      </c>
      <c r="J535" s="113"/>
    </row>
    <row r="536" spans="4:10" x14ac:dyDescent="0.3">
      <c r="F536">
        <v>2400</v>
      </c>
      <c r="G536">
        <v>440</v>
      </c>
      <c r="H536" s="114">
        <v>26610</v>
      </c>
      <c r="I536" s="114">
        <v>27800</v>
      </c>
      <c r="J536" s="113"/>
    </row>
    <row r="537" spans="4:10" x14ac:dyDescent="0.3">
      <c r="G537">
        <v>600</v>
      </c>
      <c r="H537" s="114">
        <v>29880</v>
      </c>
      <c r="I537" s="114">
        <v>31430</v>
      </c>
      <c r="J537" s="113"/>
    </row>
    <row r="538" spans="4:10" x14ac:dyDescent="0.3">
      <c r="D538" t="s">
        <v>244</v>
      </c>
      <c r="E538">
        <v>1200</v>
      </c>
      <c r="F538">
        <v>2200</v>
      </c>
      <c r="G538">
        <v>440</v>
      </c>
      <c r="H538" s="114">
        <v>14880</v>
      </c>
      <c r="I538" s="114">
        <v>16660</v>
      </c>
      <c r="J538" s="113"/>
    </row>
    <row r="539" spans="4:10" x14ac:dyDescent="0.3">
      <c r="G539">
        <v>600</v>
      </c>
      <c r="H539" s="114">
        <v>16920</v>
      </c>
      <c r="I539" s="114">
        <v>18940</v>
      </c>
      <c r="J539" s="113"/>
    </row>
    <row r="540" spans="4:10" x14ac:dyDescent="0.3">
      <c r="F540">
        <v>2400</v>
      </c>
      <c r="G540">
        <v>440</v>
      </c>
      <c r="H540" s="114">
        <v>16060</v>
      </c>
      <c r="I540" s="114">
        <v>18000</v>
      </c>
      <c r="J540" s="113"/>
    </row>
    <row r="541" spans="4:10" x14ac:dyDescent="0.3">
      <c r="G541">
        <v>600</v>
      </c>
      <c r="H541" s="114">
        <v>18420</v>
      </c>
      <c r="I541" s="114">
        <v>20620</v>
      </c>
      <c r="J541" s="113"/>
    </row>
    <row r="542" spans="4:10" x14ac:dyDescent="0.3">
      <c r="E542">
        <v>1400</v>
      </c>
      <c r="F542">
        <v>2200</v>
      </c>
      <c r="G542">
        <v>440</v>
      </c>
      <c r="H542" s="114">
        <v>17210</v>
      </c>
      <c r="I542" s="114">
        <v>19260</v>
      </c>
      <c r="J542" s="113"/>
    </row>
    <row r="543" spans="4:10" x14ac:dyDescent="0.3">
      <c r="G543">
        <v>600</v>
      </c>
      <c r="H543" s="114">
        <v>19460</v>
      </c>
      <c r="I543" s="114">
        <v>21780</v>
      </c>
      <c r="J543" s="113"/>
    </row>
    <row r="544" spans="4:10" x14ac:dyDescent="0.3">
      <c r="F544">
        <v>2400</v>
      </c>
      <c r="G544">
        <v>440</v>
      </c>
      <c r="H544" s="114">
        <v>18330</v>
      </c>
      <c r="I544" s="114">
        <v>20540</v>
      </c>
      <c r="J544" s="113"/>
    </row>
    <row r="545" spans="4:10" x14ac:dyDescent="0.3">
      <c r="G545">
        <v>600</v>
      </c>
      <c r="H545" s="114">
        <v>21410</v>
      </c>
      <c r="I545" s="114">
        <v>24000</v>
      </c>
      <c r="J545" s="113"/>
    </row>
    <row r="546" spans="4:10" x14ac:dyDescent="0.3">
      <c r="E546">
        <v>1600</v>
      </c>
      <c r="F546">
        <v>2200</v>
      </c>
      <c r="G546">
        <v>440</v>
      </c>
      <c r="H546" s="114">
        <v>19290</v>
      </c>
      <c r="I546" s="114">
        <v>21630</v>
      </c>
      <c r="J546" s="113"/>
    </row>
    <row r="547" spans="4:10" x14ac:dyDescent="0.3">
      <c r="G547">
        <v>600</v>
      </c>
      <c r="H547" s="114">
        <v>21720</v>
      </c>
      <c r="I547" s="114">
        <v>24340</v>
      </c>
      <c r="J547" s="113"/>
    </row>
    <row r="548" spans="4:10" x14ac:dyDescent="0.3">
      <c r="F548">
        <v>2400</v>
      </c>
      <c r="G548">
        <v>440</v>
      </c>
      <c r="H548" s="114">
        <v>20430</v>
      </c>
      <c r="I548" s="114">
        <v>22880</v>
      </c>
      <c r="J548" s="113"/>
    </row>
    <row r="549" spans="4:10" x14ac:dyDescent="0.3">
      <c r="G549">
        <v>600</v>
      </c>
      <c r="H549" s="114">
        <v>23700</v>
      </c>
      <c r="I549" s="114">
        <v>26510</v>
      </c>
      <c r="J549" s="113"/>
    </row>
    <row r="550" spans="4:10" x14ac:dyDescent="0.3">
      <c r="D550" t="s">
        <v>245</v>
      </c>
      <c r="E550">
        <v>1200</v>
      </c>
      <c r="F550">
        <v>2200</v>
      </c>
      <c r="G550">
        <v>440</v>
      </c>
      <c r="H550" s="114">
        <v>15780</v>
      </c>
      <c r="I550" s="114">
        <v>17180</v>
      </c>
      <c r="J550" s="113"/>
    </row>
    <row r="551" spans="4:10" x14ac:dyDescent="0.3">
      <c r="G551">
        <v>600</v>
      </c>
      <c r="H551" s="114">
        <v>17820</v>
      </c>
      <c r="I551" s="114">
        <v>19460</v>
      </c>
      <c r="J551" s="113"/>
    </row>
    <row r="552" spans="4:10" x14ac:dyDescent="0.3">
      <c r="F552">
        <v>2400</v>
      </c>
      <c r="G552">
        <v>440</v>
      </c>
      <c r="H552" s="114">
        <v>17110</v>
      </c>
      <c r="I552" s="114">
        <v>18630</v>
      </c>
      <c r="J552" s="113"/>
    </row>
    <row r="553" spans="4:10" x14ac:dyDescent="0.3">
      <c r="G553">
        <v>600</v>
      </c>
      <c r="H553" s="114">
        <v>19470</v>
      </c>
      <c r="I553" s="114">
        <v>21250</v>
      </c>
      <c r="J553" s="113"/>
    </row>
    <row r="554" spans="4:10" x14ac:dyDescent="0.3">
      <c r="E554">
        <v>1400</v>
      </c>
      <c r="F554">
        <v>2200</v>
      </c>
      <c r="G554">
        <v>440</v>
      </c>
      <c r="H554" s="114">
        <v>17960</v>
      </c>
      <c r="I554" s="114">
        <v>19530</v>
      </c>
      <c r="J554" s="113"/>
    </row>
    <row r="555" spans="4:10" x14ac:dyDescent="0.3">
      <c r="G555">
        <v>600</v>
      </c>
      <c r="H555" s="114">
        <v>20210</v>
      </c>
      <c r="I555" s="114">
        <v>22050</v>
      </c>
      <c r="J555" s="113"/>
    </row>
    <row r="556" spans="4:10" x14ac:dyDescent="0.3">
      <c r="F556">
        <v>2400</v>
      </c>
      <c r="G556">
        <v>440</v>
      </c>
      <c r="H556" s="114">
        <v>19090</v>
      </c>
      <c r="I556" s="114">
        <v>20750</v>
      </c>
      <c r="J556" s="113"/>
    </row>
    <row r="557" spans="4:10" x14ac:dyDescent="0.3">
      <c r="G557">
        <v>600</v>
      </c>
      <c r="H557" s="114">
        <v>22170</v>
      </c>
      <c r="I557" s="114">
        <v>24210</v>
      </c>
      <c r="J557" s="113"/>
    </row>
    <row r="558" spans="4:10" x14ac:dyDescent="0.3">
      <c r="E558">
        <v>1600</v>
      </c>
      <c r="F558">
        <v>2200</v>
      </c>
      <c r="G558">
        <v>440</v>
      </c>
      <c r="H558" s="114">
        <v>20200</v>
      </c>
      <c r="I558" s="114">
        <v>21950</v>
      </c>
      <c r="J558" s="113"/>
    </row>
    <row r="559" spans="4:10" x14ac:dyDescent="0.3">
      <c r="G559">
        <v>600</v>
      </c>
      <c r="H559" s="114">
        <v>22630</v>
      </c>
      <c r="I559" s="114">
        <v>24660</v>
      </c>
      <c r="J559" s="113"/>
    </row>
    <row r="560" spans="4:10" x14ac:dyDescent="0.3">
      <c r="F560">
        <v>2400</v>
      </c>
      <c r="G560">
        <v>440</v>
      </c>
      <c r="H560" s="114">
        <v>21330</v>
      </c>
      <c r="I560" s="114">
        <v>23150</v>
      </c>
      <c r="J560" s="113"/>
    </row>
    <row r="561" spans="4:10" x14ac:dyDescent="0.3">
      <c r="G561">
        <v>600</v>
      </c>
      <c r="H561" s="114">
        <v>24600</v>
      </c>
      <c r="I561" s="114">
        <v>26780</v>
      </c>
      <c r="J561" s="113"/>
    </row>
    <row r="562" spans="4:10" x14ac:dyDescent="0.3">
      <c r="D562" t="s">
        <v>246</v>
      </c>
      <c r="E562">
        <v>1200</v>
      </c>
      <c r="F562">
        <v>2200</v>
      </c>
      <c r="G562">
        <v>600</v>
      </c>
      <c r="H562" s="114">
        <v>17040</v>
      </c>
      <c r="I562" s="114">
        <v>18100</v>
      </c>
      <c r="J562" s="113"/>
    </row>
    <row r="563" spans="4:10" x14ac:dyDescent="0.3">
      <c r="D563" t="s">
        <v>247</v>
      </c>
      <c r="E563">
        <v>1200</v>
      </c>
      <c r="F563">
        <v>2200</v>
      </c>
      <c r="G563">
        <v>600</v>
      </c>
      <c r="H563" s="114">
        <v>16140</v>
      </c>
      <c r="I563" s="114">
        <v>17580</v>
      </c>
      <c r="J563" s="113"/>
    </row>
    <row r="564" spans="4:10" x14ac:dyDescent="0.3">
      <c r="D564" t="s">
        <v>248</v>
      </c>
      <c r="E564">
        <v>1200</v>
      </c>
      <c r="F564">
        <v>2200</v>
      </c>
      <c r="G564">
        <v>600</v>
      </c>
      <c r="H564" s="114">
        <v>15240</v>
      </c>
      <c r="I564" s="114">
        <v>17060</v>
      </c>
      <c r="J564" s="113"/>
    </row>
    <row r="565" spans="4:10" x14ac:dyDescent="0.3">
      <c r="D565" t="s">
        <v>249</v>
      </c>
      <c r="E565">
        <v>1200</v>
      </c>
      <c r="F565">
        <v>2200</v>
      </c>
      <c r="G565">
        <v>600</v>
      </c>
      <c r="H565" s="114">
        <v>20200</v>
      </c>
      <c r="I565" s="114">
        <v>21260</v>
      </c>
      <c r="J565" s="113"/>
    </row>
    <row r="566" spans="4:10" x14ac:dyDescent="0.3">
      <c r="D566" t="s">
        <v>250</v>
      </c>
      <c r="E566">
        <v>1200</v>
      </c>
      <c r="F566">
        <v>2200</v>
      </c>
      <c r="G566">
        <v>600</v>
      </c>
      <c r="H566" s="114">
        <v>8880</v>
      </c>
      <c r="I566" s="114">
        <v>9940</v>
      </c>
      <c r="J566" s="113"/>
    </row>
    <row r="567" spans="4:10" x14ac:dyDescent="0.3">
      <c r="D567" t="s">
        <v>251</v>
      </c>
      <c r="E567">
        <v>1800</v>
      </c>
      <c r="F567">
        <v>2200</v>
      </c>
      <c r="G567">
        <v>440</v>
      </c>
      <c r="H567" s="114">
        <v>22150</v>
      </c>
      <c r="I567" s="114">
        <v>24100</v>
      </c>
      <c r="J567" s="113"/>
    </row>
    <row r="568" spans="4:10" x14ac:dyDescent="0.3">
      <c r="G568">
        <v>600</v>
      </c>
      <c r="H568" s="114">
        <v>25020</v>
      </c>
      <c r="I568" s="114">
        <v>27300</v>
      </c>
      <c r="J568" s="113"/>
    </row>
    <row r="569" spans="4:10" x14ac:dyDescent="0.3">
      <c r="F569">
        <v>2400</v>
      </c>
      <c r="G569">
        <v>440</v>
      </c>
      <c r="H569" s="114">
        <v>23430</v>
      </c>
      <c r="I569" s="114">
        <v>25450</v>
      </c>
      <c r="J569" s="113"/>
    </row>
    <row r="570" spans="4:10" x14ac:dyDescent="0.3">
      <c r="G570">
        <v>600</v>
      </c>
      <c r="H570" s="114">
        <v>27200</v>
      </c>
      <c r="I570" s="114">
        <v>29660</v>
      </c>
      <c r="J570" s="113"/>
    </row>
    <row r="571" spans="4:10" x14ac:dyDescent="0.3">
      <c r="D571" t="s">
        <v>252</v>
      </c>
      <c r="E571">
        <v>1800</v>
      </c>
      <c r="F571">
        <v>2200</v>
      </c>
      <c r="G571">
        <v>440</v>
      </c>
      <c r="H571" s="114">
        <v>23120</v>
      </c>
      <c r="I571" s="114">
        <v>24440</v>
      </c>
      <c r="J571" s="113"/>
    </row>
    <row r="572" spans="4:10" x14ac:dyDescent="0.3">
      <c r="G572">
        <v>600</v>
      </c>
      <c r="H572" s="114">
        <v>25990</v>
      </c>
      <c r="I572" s="114">
        <v>27640</v>
      </c>
      <c r="J572" s="113"/>
    </row>
    <row r="573" spans="4:10" x14ac:dyDescent="0.3">
      <c r="F573">
        <v>2400</v>
      </c>
      <c r="G573">
        <v>440</v>
      </c>
      <c r="H573" s="114">
        <v>24390</v>
      </c>
      <c r="I573" s="114">
        <v>25740</v>
      </c>
      <c r="J573" s="113"/>
    </row>
    <row r="574" spans="4:10" x14ac:dyDescent="0.3">
      <c r="G574">
        <v>600</v>
      </c>
      <c r="H574" s="114">
        <v>28160</v>
      </c>
      <c r="I574" s="114">
        <v>29950</v>
      </c>
      <c r="J574" s="113"/>
    </row>
    <row r="575" spans="4:10" x14ac:dyDescent="0.3">
      <c r="D575" t="s">
        <v>253</v>
      </c>
      <c r="E575">
        <v>1800</v>
      </c>
      <c r="F575">
        <v>2200</v>
      </c>
      <c r="G575">
        <v>440</v>
      </c>
      <c r="H575" s="114">
        <v>21180</v>
      </c>
      <c r="I575" s="114">
        <v>23760</v>
      </c>
      <c r="J575" s="113"/>
    </row>
    <row r="576" spans="4:10" x14ac:dyDescent="0.3">
      <c r="G576">
        <v>600</v>
      </c>
      <c r="H576" s="114">
        <v>24050</v>
      </c>
      <c r="I576" s="114">
        <v>26960</v>
      </c>
      <c r="J576" s="113"/>
    </row>
    <row r="577" spans="4:10" x14ac:dyDescent="0.3">
      <c r="F577">
        <v>2400</v>
      </c>
      <c r="G577">
        <v>440</v>
      </c>
      <c r="H577" s="114">
        <v>22470</v>
      </c>
      <c r="I577" s="114">
        <v>25160</v>
      </c>
      <c r="J577" s="113"/>
    </row>
    <row r="578" spans="4:10" x14ac:dyDescent="0.3">
      <c r="G578">
        <v>600</v>
      </c>
      <c r="H578" s="114">
        <v>26240</v>
      </c>
      <c r="I578" s="114">
        <v>29370</v>
      </c>
      <c r="J578" s="113"/>
    </row>
    <row r="579" spans="4:10" x14ac:dyDescent="0.3">
      <c r="D579" t="s">
        <v>939</v>
      </c>
      <c r="E579">
        <v>1200</v>
      </c>
      <c r="F579">
        <v>2200</v>
      </c>
      <c r="G579">
        <v>440</v>
      </c>
      <c r="H579" s="114">
        <v>16680</v>
      </c>
      <c r="I579" s="114">
        <v>17700</v>
      </c>
      <c r="J579" s="113"/>
    </row>
    <row r="580" spans="4:10" x14ac:dyDescent="0.3">
      <c r="G580">
        <v>600</v>
      </c>
      <c r="H580" s="114">
        <v>18720</v>
      </c>
      <c r="I580" s="114">
        <v>19980</v>
      </c>
      <c r="J580" s="113"/>
    </row>
    <row r="581" spans="4:10" x14ac:dyDescent="0.3">
      <c r="F581">
        <v>2400</v>
      </c>
      <c r="G581">
        <v>440</v>
      </c>
      <c r="H581" s="114">
        <v>18160</v>
      </c>
      <c r="I581" s="114">
        <v>19260</v>
      </c>
      <c r="J581" s="113"/>
    </row>
    <row r="582" spans="4:10" x14ac:dyDescent="0.3">
      <c r="G582">
        <v>600</v>
      </c>
      <c r="H582" s="114">
        <v>20520</v>
      </c>
      <c r="I582" s="114">
        <v>21880</v>
      </c>
      <c r="J582" s="113"/>
    </row>
    <row r="583" spans="4:10" x14ac:dyDescent="0.3">
      <c r="E583">
        <v>1400</v>
      </c>
      <c r="F583">
        <v>2200</v>
      </c>
      <c r="G583">
        <v>440</v>
      </c>
      <c r="H583" s="114">
        <v>18710</v>
      </c>
      <c r="I583" s="114">
        <v>19800</v>
      </c>
      <c r="J583" s="113"/>
    </row>
    <row r="584" spans="4:10" x14ac:dyDescent="0.3">
      <c r="G584">
        <v>600</v>
      </c>
      <c r="H584" s="114">
        <v>20960</v>
      </c>
      <c r="I584" s="114">
        <v>22320</v>
      </c>
      <c r="J584" s="113"/>
    </row>
    <row r="585" spans="4:10" x14ac:dyDescent="0.3">
      <c r="F585">
        <v>2400</v>
      </c>
      <c r="G585">
        <v>440</v>
      </c>
      <c r="H585" s="114">
        <v>19850</v>
      </c>
      <c r="I585" s="114">
        <v>20960</v>
      </c>
      <c r="J585" s="113"/>
    </row>
    <row r="586" spans="4:10" x14ac:dyDescent="0.3">
      <c r="G586">
        <v>600</v>
      </c>
      <c r="H586" s="114">
        <v>22930</v>
      </c>
      <c r="I586" s="114">
        <v>24420</v>
      </c>
      <c r="J586" s="113"/>
    </row>
    <row r="587" spans="4:10" x14ac:dyDescent="0.3">
      <c r="E587">
        <v>1600</v>
      </c>
      <c r="F587">
        <v>2200</v>
      </c>
      <c r="G587">
        <v>440</v>
      </c>
      <c r="H587" s="114">
        <v>21110</v>
      </c>
      <c r="I587" s="114">
        <v>22270</v>
      </c>
      <c r="J587" s="113"/>
    </row>
    <row r="588" spans="4:10" x14ac:dyDescent="0.3">
      <c r="G588">
        <v>600</v>
      </c>
      <c r="H588" s="114">
        <v>23540</v>
      </c>
      <c r="I588" s="114">
        <v>24980</v>
      </c>
      <c r="J588" s="113"/>
    </row>
    <row r="589" spans="4:10" x14ac:dyDescent="0.3">
      <c r="F589">
        <v>2400</v>
      </c>
      <c r="G589">
        <v>440</v>
      </c>
      <c r="H589" s="114">
        <v>22230</v>
      </c>
      <c r="I589" s="114">
        <v>23420</v>
      </c>
      <c r="J589" s="113"/>
    </row>
    <row r="590" spans="4:10" x14ac:dyDescent="0.3">
      <c r="G590">
        <v>600</v>
      </c>
      <c r="H590" s="114">
        <v>25500</v>
      </c>
      <c r="I590" s="114">
        <v>27050</v>
      </c>
      <c r="J590" s="113"/>
    </row>
    <row r="591" spans="4:10" x14ac:dyDescent="0.3">
      <c r="D591" t="s">
        <v>940</v>
      </c>
      <c r="E591">
        <v>1800</v>
      </c>
      <c r="F591">
        <v>2200</v>
      </c>
      <c r="G591">
        <v>440</v>
      </c>
      <c r="H591" s="114">
        <v>23120</v>
      </c>
      <c r="I591" s="114">
        <v>24440</v>
      </c>
      <c r="J591" s="113"/>
    </row>
    <row r="592" spans="4:10" x14ac:dyDescent="0.3">
      <c r="G592">
        <v>600</v>
      </c>
      <c r="H592" s="114">
        <v>25990</v>
      </c>
      <c r="I592" s="114">
        <v>27640</v>
      </c>
      <c r="J592" s="113"/>
    </row>
    <row r="593" spans="4:10" x14ac:dyDescent="0.3">
      <c r="F593">
        <v>2400</v>
      </c>
      <c r="G593">
        <v>440</v>
      </c>
      <c r="H593" s="114">
        <v>24390</v>
      </c>
      <c r="I593" s="114">
        <v>25740</v>
      </c>
      <c r="J593" s="113"/>
    </row>
    <row r="594" spans="4:10" x14ac:dyDescent="0.3">
      <c r="G594">
        <v>600</v>
      </c>
      <c r="H594" s="114">
        <v>28160</v>
      </c>
      <c r="I594" s="114">
        <v>29950</v>
      </c>
      <c r="J594" s="113"/>
    </row>
    <row r="595" spans="4:10" x14ac:dyDescent="0.3">
      <c r="D595" t="s">
        <v>941</v>
      </c>
      <c r="E595">
        <v>1200</v>
      </c>
      <c r="F595">
        <v>2200</v>
      </c>
      <c r="G595">
        <v>440</v>
      </c>
      <c r="H595" s="114">
        <v>14880</v>
      </c>
      <c r="I595" s="114">
        <v>16660</v>
      </c>
      <c r="J595" s="113"/>
    </row>
    <row r="596" spans="4:10" x14ac:dyDescent="0.3">
      <c r="G596">
        <v>600</v>
      </c>
      <c r="H596" s="114">
        <v>16920</v>
      </c>
      <c r="I596" s="114">
        <v>18940</v>
      </c>
      <c r="J596" s="113"/>
    </row>
    <row r="597" spans="4:10" x14ac:dyDescent="0.3">
      <c r="F597">
        <v>2400</v>
      </c>
      <c r="G597">
        <v>440</v>
      </c>
      <c r="H597" s="114">
        <v>16060</v>
      </c>
      <c r="I597" s="114">
        <v>18000</v>
      </c>
      <c r="J597" s="113"/>
    </row>
    <row r="598" spans="4:10" x14ac:dyDescent="0.3">
      <c r="G598">
        <v>600</v>
      </c>
      <c r="H598" s="114">
        <v>18420</v>
      </c>
      <c r="I598" s="114">
        <v>20620</v>
      </c>
      <c r="J598" s="113"/>
    </row>
    <row r="599" spans="4:10" x14ac:dyDescent="0.3">
      <c r="E599">
        <v>1400</v>
      </c>
      <c r="F599">
        <v>2200</v>
      </c>
      <c r="G599">
        <v>440</v>
      </c>
      <c r="H599" s="114">
        <v>17210</v>
      </c>
      <c r="I599" s="114">
        <v>19260</v>
      </c>
      <c r="J599" s="113"/>
    </row>
    <row r="600" spans="4:10" x14ac:dyDescent="0.3">
      <c r="G600">
        <v>600</v>
      </c>
      <c r="H600" s="114">
        <v>19460</v>
      </c>
      <c r="I600" s="114">
        <v>21780</v>
      </c>
      <c r="J600" s="113"/>
    </row>
    <row r="601" spans="4:10" x14ac:dyDescent="0.3">
      <c r="F601">
        <v>2400</v>
      </c>
      <c r="G601">
        <v>440</v>
      </c>
      <c r="H601" s="114">
        <v>18330</v>
      </c>
      <c r="I601" s="114">
        <v>20540</v>
      </c>
      <c r="J601" s="113"/>
    </row>
    <row r="602" spans="4:10" x14ac:dyDescent="0.3">
      <c r="G602">
        <v>600</v>
      </c>
      <c r="H602" s="114">
        <v>21410</v>
      </c>
      <c r="I602" s="114">
        <v>24000</v>
      </c>
      <c r="J602" s="113"/>
    </row>
    <row r="603" spans="4:10" x14ac:dyDescent="0.3">
      <c r="E603">
        <v>1600</v>
      </c>
      <c r="F603">
        <v>2200</v>
      </c>
      <c r="G603">
        <v>440</v>
      </c>
      <c r="H603" s="114">
        <v>19290</v>
      </c>
      <c r="I603" s="114">
        <v>21630</v>
      </c>
      <c r="J603" s="113"/>
    </row>
    <row r="604" spans="4:10" x14ac:dyDescent="0.3">
      <c r="G604">
        <v>600</v>
      </c>
      <c r="H604" s="114">
        <v>21720</v>
      </c>
      <c r="I604" s="114">
        <v>24340</v>
      </c>
      <c r="J604" s="113"/>
    </row>
    <row r="605" spans="4:10" x14ac:dyDescent="0.3">
      <c r="F605">
        <v>2400</v>
      </c>
      <c r="G605">
        <v>440</v>
      </c>
      <c r="H605" s="114">
        <v>20430</v>
      </c>
      <c r="I605" s="114">
        <v>22880</v>
      </c>
      <c r="J605" s="113"/>
    </row>
    <row r="606" spans="4:10" x14ac:dyDescent="0.3">
      <c r="G606">
        <v>600</v>
      </c>
      <c r="H606" s="114">
        <v>23700</v>
      </c>
      <c r="I606" s="114">
        <v>26510</v>
      </c>
      <c r="J606" s="113"/>
    </row>
    <row r="607" spans="4:10" x14ac:dyDescent="0.3">
      <c r="D607" t="s">
        <v>942</v>
      </c>
      <c r="E607">
        <v>1200</v>
      </c>
      <c r="F607">
        <v>2200</v>
      </c>
      <c r="G607">
        <v>440</v>
      </c>
      <c r="H607" s="114">
        <v>15780</v>
      </c>
      <c r="I607" s="114">
        <v>17180</v>
      </c>
      <c r="J607" s="113"/>
    </row>
    <row r="608" spans="4:10" x14ac:dyDescent="0.3">
      <c r="G608">
        <v>600</v>
      </c>
      <c r="H608" s="114">
        <v>17820</v>
      </c>
      <c r="I608" s="114">
        <v>19460</v>
      </c>
      <c r="J608" s="113"/>
    </row>
    <row r="609" spans="4:10" x14ac:dyDescent="0.3">
      <c r="F609">
        <v>2400</v>
      </c>
      <c r="G609">
        <v>440</v>
      </c>
      <c r="H609" s="114">
        <v>17110</v>
      </c>
      <c r="I609" s="114">
        <v>18630</v>
      </c>
      <c r="J609" s="113"/>
    </row>
    <row r="610" spans="4:10" x14ac:dyDescent="0.3">
      <c r="G610">
        <v>600</v>
      </c>
      <c r="H610" s="114">
        <v>19470</v>
      </c>
      <c r="I610" s="114">
        <v>21250</v>
      </c>
      <c r="J610" s="113"/>
    </row>
    <row r="611" spans="4:10" x14ac:dyDescent="0.3">
      <c r="E611">
        <v>1400</v>
      </c>
      <c r="F611">
        <v>2200</v>
      </c>
      <c r="G611">
        <v>440</v>
      </c>
      <c r="H611" s="114">
        <v>17960</v>
      </c>
      <c r="I611" s="114">
        <v>19530</v>
      </c>
      <c r="J611" s="113"/>
    </row>
    <row r="612" spans="4:10" x14ac:dyDescent="0.3">
      <c r="G612">
        <v>600</v>
      </c>
      <c r="H612" s="114">
        <v>20210</v>
      </c>
      <c r="I612" s="114">
        <v>22050</v>
      </c>
      <c r="J612" s="113"/>
    </row>
    <row r="613" spans="4:10" x14ac:dyDescent="0.3">
      <c r="F613">
        <v>2400</v>
      </c>
      <c r="G613">
        <v>440</v>
      </c>
      <c r="H613" s="114">
        <v>19090</v>
      </c>
      <c r="I613" s="114">
        <v>20750</v>
      </c>
      <c r="J613" s="113"/>
    </row>
    <row r="614" spans="4:10" x14ac:dyDescent="0.3">
      <c r="G614">
        <v>600</v>
      </c>
      <c r="H614" s="114">
        <v>22170</v>
      </c>
      <c r="I614" s="114">
        <v>24210</v>
      </c>
      <c r="J614" s="113"/>
    </row>
    <row r="615" spans="4:10" x14ac:dyDescent="0.3">
      <c r="E615">
        <v>1600</v>
      </c>
      <c r="F615">
        <v>2200</v>
      </c>
      <c r="G615">
        <v>440</v>
      </c>
      <c r="H615" s="114">
        <v>20200</v>
      </c>
      <c r="I615" s="114">
        <v>21950</v>
      </c>
      <c r="J615" s="113"/>
    </row>
    <row r="616" spans="4:10" x14ac:dyDescent="0.3">
      <c r="G616">
        <v>600</v>
      </c>
      <c r="H616" s="114">
        <v>22630</v>
      </c>
      <c r="I616" s="114">
        <v>24660</v>
      </c>
      <c r="J616" s="113"/>
    </row>
    <row r="617" spans="4:10" x14ac:dyDescent="0.3">
      <c r="F617">
        <v>2400</v>
      </c>
      <c r="G617">
        <v>440</v>
      </c>
      <c r="H617" s="114">
        <v>21330</v>
      </c>
      <c r="I617" s="114">
        <v>23150</v>
      </c>
      <c r="J617" s="113"/>
    </row>
    <row r="618" spans="4:10" x14ac:dyDescent="0.3">
      <c r="G618">
        <v>600</v>
      </c>
      <c r="H618" s="114">
        <v>24600</v>
      </c>
      <c r="I618" s="114">
        <v>26780</v>
      </c>
      <c r="J618" s="113"/>
    </row>
    <row r="619" spans="4:10" x14ac:dyDescent="0.3">
      <c r="D619" t="s">
        <v>943</v>
      </c>
      <c r="E619">
        <v>1800</v>
      </c>
      <c r="F619">
        <v>2200</v>
      </c>
      <c r="G619">
        <v>440</v>
      </c>
      <c r="H619" s="114">
        <v>21180</v>
      </c>
      <c r="I619" s="114">
        <v>23760</v>
      </c>
      <c r="J619" s="113"/>
    </row>
    <row r="620" spans="4:10" x14ac:dyDescent="0.3">
      <c r="G620">
        <v>600</v>
      </c>
      <c r="H620" s="114">
        <v>24050</v>
      </c>
      <c r="I620" s="114">
        <v>26960</v>
      </c>
      <c r="J620" s="113"/>
    </row>
    <row r="621" spans="4:10" x14ac:dyDescent="0.3">
      <c r="F621">
        <v>2400</v>
      </c>
      <c r="G621">
        <v>440</v>
      </c>
      <c r="H621" s="114">
        <v>22470</v>
      </c>
      <c r="I621" s="114">
        <v>25160</v>
      </c>
      <c r="J621" s="113"/>
    </row>
    <row r="622" spans="4:10" x14ac:dyDescent="0.3">
      <c r="G622">
        <v>600</v>
      </c>
      <c r="H622" s="114">
        <v>26240</v>
      </c>
      <c r="I622" s="114">
        <v>29370</v>
      </c>
      <c r="J622" s="113"/>
    </row>
    <row r="623" spans="4:10" x14ac:dyDescent="0.3">
      <c r="D623" t="s">
        <v>944</v>
      </c>
      <c r="E623">
        <v>1800</v>
      </c>
      <c r="F623">
        <v>2200</v>
      </c>
      <c r="G623">
        <v>440</v>
      </c>
      <c r="H623" s="114">
        <v>22150</v>
      </c>
      <c r="I623" s="114">
        <v>24100</v>
      </c>
      <c r="J623" s="113"/>
    </row>
    <row r="624" spans="4:10" x14ac:dyDescent="0.3">
      <c r="G624">
        <v>600</v>
      </c>
      <c r="H624" s="114">
        <v>25020</v>
      </c>
      <c r="I624" s="114">
        <v>27300</v>
      </c>
      <c r="J624" s="113"/>
    </row>
    <row r="625" spans="4:10" x14ac:dyDescent="0.3">
      <c r="F625">
        <v>2400</v>
      </c>
      <c r="G625">
        <v>440</v>
      </c>
      <c r="H625" s="114">
        <v>23430</v>
      </c>
      <c r="I625" s="114">
        <v>25450</v>
      </c>
      <c r="J625" s="113"/>
    </row>
    <row r="626" spans="4:10" x14ac:dyDescent="0.3">
      <c r="G626">
        <v>600</v>
      </c>
      <c r="H626" s="114">
        <v>27200</v>
      </c>
      <c r="I626" s="114">
        <v>29660</v>
      </c>
      <c r="J626" s="113"/>
    </row>
    <row r="627" spans="4:10" x14ac:dyDescent="0.3">
      <c r="D627" t="s">
        <v>1003</v>
      </c>
      <c r="E627">
        <v>2200</v>
      </c>
      <c r="F627">
        <v>600</v>
      </c>
      <c r="G627" s="284">
        <v>1600</v>
      </c>
      <c r="H627" s="286">
        <v>27450</v>
      </c>
      <c r="I627" s="286">
        <v>28890</v>
      </c>
      <c r="J627" s="113"/>
    </row>
    <row r="628" spans="4:10" x14ac:dyDescent="0.3">
      <c r="G628" s="284">
        <v>1400</v>
      </c>
      <c r="H628" s="286">
        <v>25030</v>
      </c>
      <c r="I628" s="286">
        <v>26390</v>
      </c>
      <c r="J628" s="113"/>
    </row>
    <row r="629" spans="4:10" x14ac:dyDescent="0.3">
      <c r="G629" s="284">
        <v>1200</v>
      </c>
      <c r="H629" s="286">
        <v>21880</v>
      </c>
      <c r="I629" s="286">
        <v>23140</v>
      </c>
      <c r="J629" s="113"/>
    </row>
    <row r="630" spans="4:10" x14ac:dyDescent="0.3">
      <c r="F630">
        <v>440</v>
      </c>
      <c r="G630" s="284">
        <v>1600</v>
      </c>
      <c r="H630" s="286">
        <v>25020</v>
      </c>
      <c r="I630" s="286">
        <v>26180</v>
      </c>
      <c r="J630" s="113"/>
    </row>
    <row r="631" spans="4:10" x14ac:dyDescent="0.3">
      <c r="G631" s="284">
        <v>1400</v>
      </c>
      <c r="H631" s="286">
        <v>22780</v>
      </c>
      <c r="I631" s="286">
        <v>23870</v>
      </c>
      <c r="J631" s="113"/>
    </row>
    <row r="632" spans="4:10" x14ac:dyDescent="0.3">
      <c r="G632" s="284">
        <v>1200</v>
      </c>
      <c r="H632" s="286">
        <v>19840</v>
      </c>
      <c r="I632" s="286">
        <v>20860</v>
      </c>
      <c r="J632" s="113"/>
    </row>
    <row r="633" spans="4:10" x14ac:dyDescent="0.3">
      <c r="E633">
        <v>2400</v>
      </c>
      <c r="F633">
        <v>600</v>
      </c>
      <c r="G633" s="284">
        <v>1600</v>
      </c>
      <c r="H633" s="286">
        <v>29880</v>
      </c>
      <c r="I633" s="286">
        <v>31430</v>
      </c>
      <c r="J633" s="113"/>
    </row>
    <row r="634" spans="4:10" x14ac:dyDescent="0.3">
      <c r="G634" s="284">
        <v>1400</v>
      </c>
      <c r="H634" s="286">
        <v>27270</v>
      </c>
      <c r="I634" s="286">
        <v>28760</v>
      </c>
      <c r="J634" s="113"/>
    </row>
    <row r="635" spans="4:10" x14ac:dyDescent="0.3">
      <c r="G635" s="284">
        <v>1200</v>
      </c>
      <c r="H635" s="286">
        <v>23830</v>
      </c>
      <c r="I635" s="286">
        <v>25190</v>
      </c>
      <c r="J635" s="113"/>
    </row>
    <row r="636" spans="4:10" x14ac:dyDescent="0.3">
      <c r="F636">
        <v>440</v>
      </c>
      <c r="G636" s="284">
        <v>1600</v>
      </c>
      <c r="H636" s="286">
        <v>26610</v>
      </c>
      <c r="I636" s="286">
        <v>27800</v>
      </c>
      <c r="J636" s="113"/>
    </row>
    <row r="637" spans="4:10" x14ac:dyDescent="0.3">
      <c r="G637" s="284">
        <v>1400</v>
      </c>
      <c r="H637" s="286">
        <v>24190</v>
      </c>
      <c r="I637" s="286">
        <v>25300</v>
      </c>
      <c r="J637" s="113"/>
    </row>
    <row r="638" spans="4:10" x14ac:dyDescent="0.3">
      <c r="G638" s="284">
        <v>1200</v>
      </c>
      <c r="H638" s="286">
        <v>21470</v>
      </c>
      <c r="I638" s="286">
        <v>22570</v>
      </c>
      <c r="J638" s="113"/>
    </row>
    <row r="639" spans="4:10" x14ac:dyDescent="0.3">
      <c r="D639" t="s">
        <v>1004</v>
      </c>
      <c r="E639">
        <v>2200</v>
      </c>
      <c r="F639">
        <v>600</v>
      </c>
      <c r="G639">
        <v>1600</v>
      </c>
      <c r="H639" s="114">
        <v>27450</v>
      </c>
      <c r="I639" s="114">
        <v>28890</v>
      </c>
      <c r="J639" s="113"/>
    </row>
    <row r="640" spans="4:10" x14ac:dyDescent="0.3">
      <c r="G640">
        <v>1400</v>
      </c>
      <c r="H640" s="114">
        <v>25030</v>
      </c>
      <c r="I640" s="114">
        <v>26390</v>
      </c>
      <c r="J640" s="113"/>
    </row>
    <row r="641" spans="4:10" x14ac:dyDescent="0.3">
      <c r="G641">
        <v>1200</v>
      </c>
      <c r="H641" s="114">
        <v>21880</v>
      </c>
      <c r="I641" s="114">
        <v>23140</v>
      </c>
      <c r="J641" s="113"/>
    </row>
    <row r="642" spans="4:10" x14ac:dyDescent="0.3">
      <c r="F642">
        <v>440</v>
      </c>
      <c r="G642">
        <v>1600</v>
      </c>
      <c r="H642" s="114">
        <v>25020</v>
      </c>
      <c r="I642" s="114">
        <v>26180</v>
      </c>
      <c r="J642" s="113"/>
    </row>
    <row r="643" spans="4:10" x14ac:dyDescent="0.3">
      <c r="G643">
        <v>1400</v>
      </c>
      <c r="H643" s="114">
        <v>22780</v>
      </c>
      <c r="I643" s="114">
        <v>23870</v>
      </c>
      <c r="J643" s="113"/>
    </row>
    <row r="644" spans="4:10" x14ac:dyDescent="0.3">
      <c r="G644">
        <v>1200</v>
      </c>
      <c r="H644" s="114">
        <v>19840</v>
      </c>
      <c r="I644" s="114">
        <v>20860</v>
      </c>
      <c r="J644" s="113"/>
    </row>
    <row r="645" spans="4:10" x14ac:dyDescent="0.3">
      <c r="E645">
        <v>2400</v>
      </c>
      <c r="F645">
        <v>600</v>
      </c>
      <c r="G645">
        <v>1600</v>
      </c>
      <c r="H645" s="114">
        <v>29880</v>
      </c>
      <c r="I645" s="114">
        <v>31430</v>
      </c>
      <c r="J645" s="113"/>
    </row>
    <row r="646" spans="4:10" x14ac:dyDescent="0.3">
      <c r="G646">
        <v>1400</v>
      </c>
      <c r="H646" s="114">
        <v>27270</v>
      </c>
      <c r="I646" s="114">
        <v>28760</v>
      </c>
      <c r="J646" s="113"/>
    </row>
    <row r="647" spans="4:10" x14ac:dyDescent="0.3">
      <c r="G647">
        <v>1200</v>
      </c>
      <c r="H647" s="114">
        <v>23830</v>
      </c>
      <c r="I647" s="114">
        <v>25190</v>
      </c>
      <c r="J647" s="113"/>
    </row>
    <row r="648" spans="4:10" x14ac:dyDescent="0.3">
      <c r="F648">
        <v>440</v>
      </c>
      <c r="G648">
        <v>1600</v>
      </c>
      <c r="H648" s="114">
        <v>26610</v>
      </c>
      <c r="I648" s="114">
        <v>27800</v>
      </c>
      <c r="J648" s="113"/>
    </row>
    <row r="649" spans="4:10" x14ac:dyDescent="0.3">
      <c r="G649">
        <v>1400</v>
      </c>
      <c r="H649" s="114">
        <v>24190</v>
      </c>
      <c r="I649" s="114">
        <v>25300</v>
      </c>
      <c r="J649" s="113"/>
    </row>
    <row r="650" spans="4:10" x14ac:dyDescent="0.3">
      <c r="G650">
        <v>1200</v>
      </c>
      <c r="H650" s="114">
        <v>21470</v>
      </c>
      <c r="I650" s="114">
        <v>22570</v>
      </c>
      <c r="J650" s="113"/>
    </row>
    <row r="651" spans="4:10" x14ac:dyDescent="0.3">
      <c r="D651" t="s">
        <v>1005</v>
      </c>
      <c r="E651">
        <v>2200</v>
      </c>
      <c r="F651">
        <v>600</v>
      </c>
      <c r="G651">
        <v>1600</v>
      </c>
      <c r="H651" s="114">
        <v>27450</v>
      </c>
      <c r="I651" s="114">
        <v>28890</v>
      </c>
      <c r="J651" s="113"/>
    </row>
    <row r="652" spans="4:10" x14ac:dyDescent="0.3">
      <c r="G652">
        <v>1400</v>
      </c>
      <c r="H652" s="114">
        <v>25030</v>
      </c>
      <c r="I652" s="114">
        <v>26390</v>
      </c>
      <c r="J652" s="113"/>
    </row>
    <row r="653" spans="4:10" x14ac:dyDescent="0.3">
      <c r="G653">
        <v>1200</v>
      </c>
      <c r="H653" s="114">
        <v>21880</v>
      </c>
      <c r="I653" s="114">
        <v>23140</v>
      </c>
      <c r="J653" s="113"/>
    </row>
    <row r="654" spans="4:10" x14ac:dyDescent="0.3">
      <c r="F654">
        <v>440</v>
      </c>
      <c r="G654">
        <v>1600</v>
      </c>
      <c r="H654" s="114">
        <v>25020</v>
      </c>
      <c r="I654" s="114">
        <v>26180</v>
      </c>
      <c r="J654" s="113"/>
    </row>
    <row r="655" spans="4:10" x14ac:dyDescent="0.3">
      <c r="G655">
        <v>1400</v>
      </c>
      <c r="H655" s="114">
        <v>22780</v>
      </c>
      <c r="I655" s="114">
        <v>23870</v>
      </c>
      <c r="J655" s="113"/>
    </row>
    <row r="656" spans="4:10" x14ac:dyDescent="0.3">
      <c r="G656">
        <v>1200</v>
      </c>
      <c r="H656" s="114">
        <v>19840</v>
      </c>
      <c r="I656" s="114">
        <v>20860</v>
      </c>
      <c r="J656" s="113"/>
    </row>
    <row r="657" spans="4:10" x14ac:dyDescent="0.3">
      <c r="E657">
        <v>2400</v>
      </c>
      <c r="F657">
        <v>600</v>
      </c>
      <c r="G657">
        <v>1600</v>
      </c>
      <c r="H657" s="114">
        <v>29880</v>
      </c>
      <c r="I657" s="114">
        <v>31430</v>
      </c>
      <c r="J657" s="113"/>
    </row>
    <row r="658" spans="4:10" x14ac:dyDescent="0.3">
      <c r="G658">
        <v>1400</v>
      </c>
      <c r="H658" s="114">
        <v>27270</v>
      </c>
      <c r="I658" s="114">
        <v>28760</v>
      </c>
      <c r="J658" s="113"/>
    </row>
    <row r="659" spans="4:10" x14ac:dyDescent="0.3">
      <c r="G659">
        <v>1200</v>
      </c>
      <c r="H659" s="114">
        <v>23830</v>
      </c>
      <c r="I659" s="114">
        <v>25190</v>
      </c>
      <c r="J659" s="113"/>
    </row>
    <row r="660" spans="4:10" x14ac:dyDescent="0.3">
      <c r="F660">
        <v>440</v>
      </c>
      <c r="G660">
        <v>1600</v>
      </c>
      <c r="H660" s="114">
        <v>26610</v>
      </c>
      <c r="I660" s="114">
        <v>27800</v>
      </c>
      <c r="J660" s="113"/>
    </row>
    <row r="661" spans="4:10" x14ac:dyDescent="0.3">
      <c r="G661">
        <v>1400</v>
      </c>
      <c r="H661" s="114">
        <v>24190</v>
      </c>
      <c r="I661" s="114">
        <v>25300</v>
      </c>
      <c r="J661" s="113"/>
    </row>
    <row r="662" spans="4:10" x14ac:dyDescent="0.3">
      <c r="G662">
        <v>1200</v>
      </c>
      <c r="H662" s="114">
        <v>21470</v>
      </c>
      <c r="I662" s="114">
        <v>22570</v>
      </c>
      <c r="J662" s="113"/>
    </row>
    <row r="663" spans="4:10" x14ac:dyDescent="0.3">
      <c r="D663" t="s">
        <v>1006</v>
      </c>
      <c r="E663">
        <v>2200</v>
      </c>
      <c r="F663">
        <v>600</v>
      </c>
      <c r="G663">
        <v>1600</v>
      </c>
      <c r="H663" s="114">
        <v>27450</v>
      </c>
      <c r="I663" s="114">
        <v>28890</v>
      </c>
      <c r="J663" s="113"/>
    </row>
    <row r="664" spans="4:10" x14ac:dyDescent="0.3">
      <c r="G664">
        <v>1400</v>
      </c>
      <c r="H664" s="114">
        <v>25030</v>
      </c>
      <c r="I664" s="114">
        <v>26390</v>
      </c>
      <c r="J664" s="113"/>
    </row>
    <row r="665" spans="4:10" x14ac:dyDescent="0.3">
      <c r="G665">
        <v>1200</v>
      </c>
      <c r="H665" s="114">
        <v>21880</v>
      </c>
      <c r="I665" s="114">
        <v>23140</v>
      </c>
      <c r="J665" s="113"/>
    </row>
    <row r="666" spans="4:10" x14ac:dyDescent="0.3">
      <c r="F666">
        <v>440</v>
      </c>
      <c r="G666">
        <v>1600</v>
      </c>
      <c r="H666" s="114">
        <v>25020</v>
      </c>
      <c r="I666" s="114">
        <v>26180</v>
      </c>
      <c r="J666" s="113"/>
    </row>
    <row r="667" spans="4:10" x14ac:dyDescent="0.3">
      <c r="G667">
        <v>1400</v>
      </c>
      <c r="H667" s="114">
        <v>22780</v>
      </c>
      <c r="I667" s="114">
        <v>23870</v>
      </c>
      <c r="J667" s="113"/>
    </row>
    <row r="668" spans="4:10" x14ac:dyDescent="0.3">
      <c r="G668">
        <v>1200</v>
      </c>
      <c r="H668" s="114">
        <v>19840</v>
      </c>
      <c r="I668" s="114">
        <v>20860</v>
      </c>
      <c r="J668" s="113"/>
    </row>
    <row r="669" spans="4:10" x14ac:dyDescent="0.3">
      <c r="E669">
        <v>2400</v>
      </c>
      <c r="F669">
        <v>600</v>
      </c>
      <c r="G669">
        <v>1600</v>
      </c>
      <c r="H669" s="114">
        <v>29880</v>
      </c>
      <c r="I669" s="114">
        <v>31430</v>
      </c>
      <c r="J669" s="113"/>
    </row>
    <row r="670" spans="4:10" x14ac:dyDescent="0.3">
      <c r="G670">
        <v>1400</v>
      </c>
      <c r="H670" s="114">
        <v>27270</v>
      </c>
      <c r="I670" s="114">
        <v>28760</v>
      </c>
      <c r="J670" s="113"/>
    </row>
    <row r="671" spans="4:10" x14ac:dyDescent="0.3">
      <c r="G671">
        <v>1200</v>
      </c>
      <c r="H671" s="114">
        <v>23830</v>
      </c>
      <c r="I671" s="114">
        <v>25190</v>
      </c>
      <c r="J671" s="113"/>
    </row>
    <row r="672" spans="4:10" x14ac:dyDescent="0.3">
      <c r="F672">
        <v>440</v>
      </c>
      <c r="G672">
        <v>1600</v>
      </c>
      <c r="H672" s="114">
        <v>26610</v>
      </c>
      <c r="I672" s="114">
        <v>27800</v>
      </c>
      <c r="J672" s="113"/>
    </row>
    <row r="673" spans="4:10" x14ac:dyDescent="0.3">
      <c r="G673">
        <v>1400</v>
      </c>
      <c r="H673" s="114">
        <v>24190</v>
      </c>
      <c r="I673" s="114">
        <v>25300</v>
      </c>
      <c r="J673" s="113"/>
    </row>
    <row r="674" spans="4:10" x14ac:dyDescent="0.3">
      <c r="G674">
        <v>1200</v>
      </c>
      <c r="H674" s="114">
        <v>21470</v>
      </c>
      <c r="I674" s="114">
        <v>22570</v>
      </c>
      <c r="J674" s="113"/>
    </row>
    <row r="675" spans="4:10" x14ac:dyDescent="0.3">
      <c r="D675" t="s">
        <v>1007</v>
      </c>
      <c r="E675">
        <v>2200</v>
      </c>
      <c r="F675">
        <v>600</v>
      </c>
      <c r="G675">
        <v>1600</v>
      </c>
      <c r="H675" s="114">
        <v>27450</v>
      </c>
      <c r="I675" s="114">
        <v>28890</v>
      </c>
      <c r="J675" s="113"/>
    </row>
    <row r="676" spans="4:10" x14ac:dyDescent="0.3">
      <c r="G676">
        <v>1400</v>
      </c>
      <c r="H676" s="114">
        <v>25030</v>
      </c>
      <c r="I676" s="114">
        <v>26390</v>
      </c>
      <c r="J676" s="113"/>
    </row>
    <row r="677" spans="4:10" x14ac:dyDescent="0.3">
      <c r="G677">
        <v>1200</v>
      </c>
      <c r="H677" s="114">
        <v>21880</v>
      </c>
      <c r="I677" s="114">
        <v>23140</v>
      </c>
      <c r="J677" s="113"/>
    </row>
    <row r="678" spans="4:10" x14ac:dyDescent="0.3">
      <c r="F678">
        <v>440</v>
      </c>
      <c r="G678">
        <v>1600</v>
      </c>
      <c r="H678" s="114">
        <v>25020</v>
      </c>
      <c r="I678" s="114">
        <v>26180</v>
      </c>
      <c r="J678" s="113"/>
    </row>
    <row r="679" spans="4:10" x14ac:dyDescent="0.3">
      <c r="G679">
        <v>1400</v>
      </c>
      <c r="H679" s="114">
        <v>22780</v>
      </c>
      <c r="I679" s="114">
        <v>23870</v>
      </c>
      <c r="J679" s="113"/>
    </row>
    <row r="680" spans="4:10" x14ac:dyDescent="0.3">
      <c r="G680">
        <v>1200</v>
      </c>
      <c r="H680" s="114">
        <v>19840</v>
      </c>
      <c r="I680" s="114">
        <v>20860</v>
      </c>
      <c r="J680" s="113"/>
    </row>
    <row r="681" spans="4:10" x14ac:dyDescent="0.3">
      <c r="E681">
        <v>2400</v>
      </c>
      <c r="F681">
        <v>600</v>
      </c>
      <c r="G681">
        <v>1600</v>
      </c>
      <c r="H681" s="114">
        <v>29880</v>
      </c>
      <c r="I681" s="114">
        <v>31430</v>
      </c>
      <c r="J681" s="113"/>
    </row>
    <row r="682" spans="4:10" x14ac:dyDescent="0.3">
      <c r="G682">
        <v>1400</v>
      </c>
      <c r="H682" s="114">
        <v>27270</v>
      </c>
      <c r="I682" s="114">
        <v>28760</v>
      </c>
      <c r="J682" s="113"/>
    </row>
    <row r="683" spans="4:10" x14ac:dyDescent="0.3">
      <c r="G683">
        <v>1200</v>
      </c>
      <c r="H683" s="114">
        <v>23830</v>
      </c>
      <c r="I683" s="114">
        <v>25190</v>
      </c>
      <c r="J683" s="113"/>
    </row>
    <row r="684" spans="4:10" x14ac:dyDescent="0.3">
      <c r="F684">
        <v>440</v>
      </c>
      <c r="G684">
        <v>1600</v>
      </c>
      <c r="H684" s="114">
        <v>26610</v>
      </c>
      <c r="I684" s="114">
        <v>27800</v>
      </c>
      <c r="J684" s="113"/>
    </row>
    <row r="685" spans="4:10" x14ac:dyDescent="0.3">
      <c r="G685">
        <v>1400</v>
      </c>
      <c r="H685" s="114">
        <v>24190</v>
      </c>
      <c r="I685" s="114">
        <v>25300</v>
      </c>
      <c r="J685" s="113"/>
    </row>
    <row r="686" spans="4:10" x14ac:dyDescent="0.3">
      <c r="G686">
        <v>1200</v>
      </c>
      <c r="H686" s="114">
        <v>21470</v>
      </c>
      <c r="I686" s="114">
        <v>22570</v>
      </c>
      <c r="J686" s="113"/>
    </row>
    <row r="687" spans="4:10" x14ac:dyDescent="0.3">
      <c r="D687" t="s">
        <v>1008</v>
      </c>
      <c r="E687">
        <v>2200</v>
      </c>
      <c r="F687">
        <v>600</v>
      </c>
      <c r="G687">
        <v>1600</v>
      </c>
      <c r="H687" s="114">
        <v>27450</v>
      </c>
      <c r="I687" s="114">
        <v>28890</v>
      </c>
      <c r="J687" s="113"/>
    </row>
    <row r="688" spans="4:10" x14ac:dyDescent="0.3">
      <c r="G688">
        <v>1400</v>
      </c>
      <c r="H688" s="114">
        <v>25030</v>
      </c>
      <c r="I688" s="114">
        <v>26390</v>
      </c>
      <c r="J688" s="113"/>
    </row>
    <row r="689" spans="4:10" x14ac:dyDescent="0.3">
      <c r="G689">
        <v>1200</v>
      </c>
      <c r="H689" s="114">
        <v>21880</v>
      </c>
      <c r="I689" s="114">
        <v>23140</v>
      </c>
      <c r="J689" s="113"/>
    </row>
    <row r="690" spans="4:10" x14ac:dyDescent="0.3">
      <c r="F690">
        <v>440</v>
      </c>
      <c r="G690">
        <v>1600</v>
      </c>
      <c r="H690" s="114">
        <v>25020</v>
      </c>
      <c r="I690" s="114">
        <v>26180</v>
      </c>
      <c r="J690" s="113"/>
    </row>
    <row r="691" spans="4:10" x14ac:dyDescent="0.3">
      <c r="G691">
        <v>1400</v>
      </c>
      <c r="H691" s="114">
        <v>22780</v>
      </c>
      <c r="I691" s="114">
        <v>23870</v>
      </c>
      <c r="J691" s="113"/>
    </row>
    <row r="692" spans="4:10" x14ac:dyDescent="0.3">
      <c r="G692">
        <v>1200</v>
      </c>
      <c r="H692" s="114">
        <v>19840</v>
      </c>
      <c r="I692" s="114">
        <v>20860</v>
      </c>
      <c r="J692" s="113"/>
    </row>
    <row r="693" spans="4:10" x14ac:dyDescent="0.3">
      <c r="E693">
        <v>2400</v>
      </c>
      <c r="F693">
        <v>600</v>
      </c>
      <c r="G693">
        <v>1600</v>
      </c>
      <c r="H693" s="114">
        <v>29880</v>
      </c>
      <c r="I693" s="114">
        <v>31430</v>
      </c>
      <c r="J693" s="113"/>
    </row>
    <row r="694" spans="4:10" x14ac:dyDescent="0.3">
      <c r="G694">
        <v>1400</v>
      </c>
      <c r="H694" s="114">
        <v>27270</v>
      </c>
      <c r="I694" s="114">
        <v>28760</v>
      </c>
      <c r="J694" s="113"/>
    </row>
    <row r="695" spans="4:10" x14ac:dyDescent="0.3">
      <c r="G695">
        <v>1200</v>
      </c>
      <c r="H695" s="114">
        <v>23830</v>
      </c>
      <c r="I695" s="114">
        <v>25190</v>
      </c>
      <c r="J695" s="113"/>
    </row>
    <row r="696" spans="4:10" x14ac:dyDescent="0.3">
      <c r="F696">
        <v>440</v>
      </c>
      <c r="G696">
        <v>1600</v>
      </c>
      <c r="H696" s="114">
        <v>26610</v>
      </c>
      <c r="I696" s="114">
        <v>27800</v>
      </c>
      <c r="J696" s="113"/>
    </row>
    <row r="697" spans="4:10" x14ac:dyDescent="0.3">
      <c r="G697">
        <v>1400</v>
      </c>
      <c r="H697" s="114">
        <v>24190</v>
      </c>
      <c r="I697" s="114">
        <v>25300</v>
      </c>
      <c r="J697" s="113"/>
    </row>
    <row r="698" spans="4:10" x14ac:dyDescent="0.3">
      <c r="G698">
        <v>1200</v>
      </c>
      <c r="H698" s="114">
        <v>21470</v>
      </c>
      <c r="I698" s="114">
        <v>22570</v>
      </c>
      <c r="J698" s="113"/>
    </row>
    <row r="699" spans="4:10" x14ac:dyDescent="0.3">
      <c r="D699" t="s">
        <v>1009</v>
      </c>
      <c r="E699">
        <v>2200</v>
      </c>
      <c r="F699">
        <v>600</v>
      </c>
      <c r="G699">
        <v>1600</v>
      </c>
      <c r="H699" s="114">
        <v>27450</v>
      </c>
      <c r="I699" s="114">
        <v>28890</v>
      </c>
      <c r="J699" s="113"/>
    </row>
    <row r="700" spans="4:10" x14ac:dyDescent="0.3">
      <c r="G700">
        <v>1400</v>
      </c>
      <c r="H700" s="114">
        <v>25030</v>
      </c>
      <c r="I700" s="114">
        <v>26390</v>
      </c>
      <c r="J700" s="113"/>
    </row>
    <row r="701" spans="4:10" x14ac:dyDescent="0.3">
      <c r="G701">
        <v>1200</v>
      </c>
      <c r="H701" s="114">
        <v>21880</v>
      </c>
      <c r="I701" s="114">
        <v>23140</v>
      </c>
      <c r="J701" s="113"/>
    </row>
    <row r="702" spans="4:10" x14ac:dyDescent="0.3">
      <c r="F702">
        <v>440</v>
      </c>
      <c r="G702">
        <v>1600</v>
      </c>
      <c r="H702" s="114">
        <v>25020</v>
      </c>
      <c r="I702" s="114">
        <v>26180</v>
      </c>
      <c r="J702" s="113"/>
    </row>
    <row r="703" spans="4:10" x14ac:dyDescent="0.3">
      <c r="G703">
        <v>1400</v>
      </c>
      <c r="H703" s="114">
        <v>22780</v>
      </c>
      <c r="I703" s="114">
        <v>23870</v>
      </c>
      <c r="J703" s="113"/>
    </row>
    <row r="704" spans="4:10" x14ac:dyDescent="0.3">
      <c r="G704">
        <v>1200</v>
      </c>
      <c r="H704" s="114">
        <v>19840</v>
      </c>
      <c r="I704" s="114">
        <v>20860</v>
      </c>
      <c r="J704" s="113"/>
    </row>
    <row r="705" spans="4:10" x14ac:dyDescent="0.3">
      <c r="E705">
        <v>2400</v>
      </c>
      <c r="F705">
        <v>600</v>
      </c>
      <c r="G705">
        <v>1600</v>
      </c>
      <c r="H705" s="114">
        <v>29880</v>
      </c>
      <c r="I705" s="114">
        <v>31430</v>
      </c>
      <c r="J705" s="113"/>
    </row>
    <row r="706" spans="4:10" x14ac:dyDescent="0.3">
      <c r="G706">
        <v>1400</v>
      </c>
      <c r="H706" s="114">
        <v>27270</v>
      </c>
      <c r="I706" s="114">
        <v>28760</v>
      </c>
      <c r="J706" s="113"/>
    </row>
    <row r="707" spans="4:10" x14ac:dyDescent="0.3">
      <c r="G707">
        <v>1200</v>
      </c>
      <c r="H707" s="114">
        <v>23830</v>
      </c>
      <c r="I707" s="114">
        <v>25190</v>
      </c>
      <c r="J707" s="113"/>
    </row>
    <row r="708" spans="4:10" x14ac:dyDescent="0.3">
      <c r="F708">
        <v>440</v>
      </c>
      <c r="G708">
        <v>1600</v>
      </c>
      <c r="H708" s="114">
        <v>26610</v>
      </c>
      <c r="I708" s="114">
        <v>27800</v>
      </c>
      <c r="J708" s="113"/>
    </row>
    <row r="709" spans="4:10" x14ac:dyDescent="0.3">
      <c r="G709">
        <v>1400</v>
      </c>
      <c r="H709" s="114">
        <v>24190</v>
      </c>
      <c r="I709" s="114">
        <v>25300</v>
      </c>
      <c r="J709" s="113"/>
    </row>
    <row r="710" spans="4:10" x14ac:dyDescent="0.3">
      <c r="G710">
        <v>1200</v>
      </c>
      <c r="H710" s="114">
        <v>21470</v>
      </c>
      <c r="I710" s="114">
        <v>22570</v>
      </c>
      <c r="J710" s="113"/>
    </row>
    <row r="711" spans="4:10" x14ac:dyDescent="0.3">
      <c r="D711" t="s">
        <v>1010</v>
      </c>
      <c r="E711">
        <v>2200</v>
      </c>
      <c r="F711">
        <v>600</v>
      </c>
      <c r="G711">
        <v>1600</v>
      </c>
      <c r="H711" s="114">
        <v>27450</v>
      </c>
      <c r="I711" s="114">
        <v>28890</v>
      </c>
      <c r="J711" s="113"/>
    </row>
    <row r="712" spans="4:10" x14ac:dyDescent="0.3">
      <c r="G712">
        <v>1400</v>
      </c>
      <c r="H712" s="114">
        <v>25030</v>
      </c>
      <c r="I712" s="114">
        <v>26390</v>
      </c>
      <c r="J712" s="113"/>
    </row>
    <row r="713" spans="4:10" x14ac:dyDescent="0.3">
      <c r="G713">
        <v>1200</v>
      </c>
      <c r="H713" s="114">
        <v>21880</v>
      </c>
      <c r="I713" s="114">
        <v>23140</v>
      </c>
      <c r="J713" s="113"/>
    </row>
    <row r="714" spans="4:10" x14ac:dyDescent="0.3">
      <c r="F714">
        <v>440</v>
      </c>
      <c r="G714">
        <v>1600</v>
      </c>
      <c r="H714" s="114">
        <v>25020</v>
      </c>
      <c r="I714" s="114">
        <v>26180</v>
      </c>
      <c r="J714" s="113"/>
    </row>
    <row r="715" spans="4:10" x14ac:dyDescent="0.3">
      <c r="G715">
        <v>1400</v>
      </c>
      <c r="H715" s="114">
        <v>22780</v>
      </c>
      <c r="I715" s="114">
        <v>23870</v>
      </c>
      <c r="J715" s="113"/>
    </row>
    <row r="716" spans="4:10" x14ac:dyDescent="0.3">
      <c r="G716">
        <v>1200</v>
      </c>
      <c r="H716" s="114">
        <v>19840</v>
      </c>
      <c r="I716" s="114">
        <v>20860</v>
      </c>
      <c r="J716" s="113"/>
    </row>
    <row r="717" spans="4:10" x14ac:dyDescent="0.3">
      <c r="E717">
        <v>2400</v>
      </c>
      <c r="F717">
        <v>600</v>
      </c>
      <c r="G717">
        <v>1600</v>
      </c>
      <c r="H717" s="114">
        <v>29880</v>
      </c>
      <c r="I717" s="114">
        <v>31430</v>
      </c>
      <c r="J717" s="113"/>
    </row>
    <row r="718" spans="4:10" x14ac:dyDescent="0.3">
      <c r="G718">
        <v>1400</v>
      </c>
      <c r="H718" s="114">
        <v>27270</v>
      </c>
      <c r="I718" s="114">
        <v>28760</v>
      </c>
      <c r="J718" s="113"/>
    </row>
    <row r="719" spans="4:10" x14ac:dyDescent="0.3">
      <c r="G719">
        <v>1200</v>
      </c>
      <c r="H719" s="114">
        <v>23830</v>
      </c>
      <c r="I719" s="114">
        <v>25190</v>
      </c>
      <c r="J719" s="113"/>
    </row>
    <row r="720" spans="4:10" x14ac:dyDescent="0.3">
      <c r="F720">
        <v>440</v>
      </c>
      <c r="G720">
        <v>1600</v>
      </c>
      <c r="H720" s="114">
        <v>26610</v>
      </c>
      <c r="I720" s="114">
        <v>27800</v>
      </c>
      <c r="J720" s="113"/>
    </row>
    <row r="721" spans="4:10" x14ac:dyDescent="0.3">
      <c r="G721">
        <v>1400</v>
      </c>
      <c r="H721" s="114">
        <v>24190</v>
      </c>
      <c r="I721" s="114">
        <v>25300</v>
      </c>
      <c r="J721" s="113"/>
    </row>
    <row r="722" spans="4:10" x14ac:dyDescent="0.3">
      <c r="G722">
        <v>1200</v>
      </c>
      <c r="H722" s="114">
        <v>21470</v>
      </c>
      <c r="I722" s="114">
        <v>22570</v>
      </c>
      <c r="J722" s="113"/>
    </row>
    <row r="723" spans="4:10" x14ac:dyDescent="0.3">
      <c r="D723" t="s">
        <v>1011</v>
      </c>
      <c r="E723">
        <v>2200</v>
      </c>
      <c r="F723">
        <v>600</v>
      </c>
      <c r="G723">
        <v>1600</v>
      </c>
      <c r="H723" s="114">
        <v>27450</v>
      </c>
      <c r="I723" s="114">
        <v>28890</v>
      </c>
      <c r="J723" s="113"/>
    </row>
    <row r="724" spans="4:10" x14ac:dyDescent="0.3">
      <c r="G724">
        <v>1400</v>
      </c>
      <c r="H724" s="114">
        <v>25030</v>
      </c>
      <c r="I724" s="114">
        <v>26390</v>
      </c>
      <c r="J724" s="113"/>
    </row>
    <row r="725" spans="4:10" x14ac:dyDescent="0.3">
      <c r="G725">
        <v>1200</v>
      </c>
      <c r="H725" s="114">
        <v>21880</v>
      </c>
      <c r="I725" s="114">
        <v>23140</v>
      </c>
      <c r="J725" s="113"/>
    </row>
    <row r="726" spans="4:10" x14ac:dyDescent="0.3">
      <c r="F726">
        <v>440</v>
      </c>
      <c r="G726">
        <v>1600</v>
      </c>
      <c r="H726" s="114">
        <v>25020</v>
      </c>
      <c r="I726" s="114">
        <v>26180</v>
      </c>
      <c r="J726" s="113"/>
    </row>
    <row r="727" spans="4:10" x14ac:dyDescent="0.3">
      <c r="G727">
        <v>1400</v>
      </c>
      <c r="H727" s="114">
        <v>22780</v>
      </c>
      <c r="I727" s="114">
        <v>23870</v>
      </c>
      <c r="J727" s="113"/>
    </row>
    <row r="728" spans="4:10" x14ac:dyDescent="0.3">
      <c r="G728">
        <v>1200</v>
      </c>
      <c r="H728" s="114">
        <v>19840</v>
      </c>
      <c r="I728" s="114">
        <v>20860</v>
      </c>
      <c r="J728" s="113"/>
    </row>
    <row r="729" spans="4:10" x14ac:dyDescent="0.3">
      <c r="E729">
        <v>2400</v>
      </c>
      <c r="F729">
        <v>600</v>
      </c>
      <c r="G729">
        <v>1600</v>
      </c>
      <c r="H729" s="114">
        <v>29880</v>
      </c>
      <c r="I729" s="114">
        <v>31430</v>
      </c>
      <c r="J729" s="113"/>
    </row>
    <row r="730" spans="4:10" x14ac:dyDescent="0.3">
      <c r="G730">
        <v>1400</v>
      </c>
      <c r="H730" s="114">
        <v>27270</v>
      </c>
      <c r="I730" s="114">
        <v>28760</v>
      </c>
      <c r="J730" s="113"/>
    </row>
    <row r="731" spans="4:10" x14ac:dyDescent="0.3">
      <c r="G731">
        <v>1200</v>
      </c>
      <c r="H731" s="114">
        <v>23830</v>
      </c>
      <c r="I731" s="114">
        <v>25190</v>
      </c>
      <c r="J731" s="113"/>
    </row>
    <row r="732" spans="4:10" x14ac:dyDescent="0.3">
      <c r="F732">
        <v>440</v>
      </c>
      <c r="G732">
        <v>1600</v>
      </c>
      <c r="H732" s="114">
        <v>26610</v>
      </c>
      <c r="I732" s="114">
        <v>27800</v>
      </c>
      <c r="J732" s="113"/>
    </row>
    <row r="733" spans="4:10" x14ac:dyDescent="0.3">
      <c r="G733">
        <v>1400</v>
      </c>
      <c r="H733" s="114">
        <v>24190</v>
      </c>
      <c r="I733" s="114">
        <v>25300</v>
      </c>
      <c r="J733" s="113"/>
    </row>
    <row r="734" spans="4:10" x14ac:dyDescent="0.3">
      <c r="G734">
        <v>1200</v>
      </c>
      <c r="H734" s="114">
        <v>21470</v>
      </c>
      <c r="I734" s="114">
        <v>22570</v>
      </c>
      <c r="J734" s="113"/>
    </row>
    <row r="735" spans="4:10" x14ac:dyDescent="0.3">
      <c r="D735" t="s">
        <v>1012</v>
      </c>
      <c r="E735">
        <v>2200</v>
      </c>
      <c r="F735">
        <v>600</v>
      </c>
      <c r="G735">
        <v>1600</v>
      </c>
      <c r="H735" s="114">
        <v>27450</v>
      </c>
      <c r="I735" s="114">
        <v>28890</v>
      </c>
      <c r="J735" s="113"/>
    </row>
    <row r="736" spans="4:10" x14ac:dyDescent="0.3">
      <c r="G736">
        <v>1400</v>
      </c>
      <c r="H736" s="114">
        <v>25030</v>
      </c>
      <c r="I736" s="114">
        <v>26390</v>
      </c>
      <c r="J736" s="113"/>
    </row>
    <row r="737" spans="4:10" x14ac:dyDescent="0.3">
      <c r="G737">
        <v>1200</v>
      </c>
      <c r="H737" s="114">
        <v>21880</v>
      </c>
      <c r="I737" s="114">
        <v>23140</v>
      </c>
      <c r="J737" s="113"/>
    </row>
    <row r="738" spans="4:10" x14ac:dyDescent="0.3">
      <c r="F738">
        <v>440</v>
      </c>
      <c r="G738">
        <v>1600</v>
      </c>
      <c r="H738" s="114">
        <v>25020</v>
      </c>
      <c r="I738" s="114">
        <v>26180</v>
      </c>
      <c r="J738" s="113"/>
    </row>
    <row r="739" spans="4:10" x14ac:dyDescent="0.3">
      <c r="G739">
        <v>1400</v>
      </c>
      <c r="H739" s="114">
        <v>22780</v>
      </c>
      <c r="I739" s="114">
        <v>23870</v>
      </c>
      <c r="J739" s="113"/>
    </row>
    <row r="740" spans="4:10" x14ac:dyDescent="0.3">
      <c r="G740">
        <v>1200</v>
      </c>
      <c r="H740" s="114">
        <v>19840</v>
      </c>
      <c r="I740" s="114">
        <v>20860</v>
      </c>
      <c r="J740" s="113"/>
    </row>
    <row r="741" spans="4:10" x14ac:dyDescent="0.3">
      <c r="E741">
        <v>2400</v>
      </c>
      <c r="F741">
        <v>600</v>
      </c>
      <c r="G741">
        <v>1600</v>
      </c>
      <c r="H741" s="114">
        <v>29880</v>
      </c>
      <c r="I741" s="114">
        <v>31430</v>
      </c>
      <c r="J741" s="113"/>
    </row>
    <row r="742" spans="4:10" x14ac:dyDescent="0.3">
      <c r="G742">
        <v>1400</v>
      </c>
      <c r="H742" s="114">
        <v>27270</v>
      </c>
      <c r="I742" s="114">
        <v>28760</v>
      </c>
      <c r="J742" s="113"/>
    </row>
    <row r="743" spans="4:10" x14ac:dyDescent="0.3">
      <c r="G743">
        <v>1200</v>
      </c>
      <c r="H743" s="114">
        <v>23830</v>
      </c>
      <c r="I743" s="114">
        <v>25190</v>
      </c>
      <c r="J743" s="113"/>
    </row>
    <row r="744" spans="4:10" x14ac:dyDescent="0.3">
      <c r="F744">
        <v>440</v>
      </c>
      <c r="G744">
        <v>1600</v>
      </c>
      <c r="H744" s="114">
        <v>26610</v>
      </c>
      <c r="I744" s="114">
        <v>27800</v>
      </c>
      <c r="J744" s="113"/>
    </row>
    <row r="745" spans="4:10" x14ac:dyDescent="0.3">
      <c r="G745">
        <v>1400</v>
      </c>
      <c r="H745" s="114">
        <v>24190</v>
      </c>
      <c r="I745" s="114">
        <v>25300</v>
      </c>
      <c r="J745" s="113"/>
    </row>
    <row r="746" spans="4:10" x14ac:dyDescent="0.3">
      <c r="G746">
        <v>1200</v>
      </c>
      <c r="H746" s="114">
        <v>21470</v>
      </c>
      <c r="I746" s="114">
        <v>22570</v>
      </c>
      <c r="J746" s="113"/>
    </row>
    <row r="747" spans="4:10" x14ac:dyDescent="0.3">
      <c r="D747" t="s">
        <v>1013</v>
      </c>
      <c r="E747">
        <v>2200</v>
      </c>
      <c r="F747">
        <v>600</v>
      </c>
      <c r="G747">
        <v>1600</v>
      </c>
      <c r="H747" s="114">
        <v>27450</v>
      </c>
      <c r="I747" s="114">
        <v>28890</v>
      </c>
      <c r="J747" s="113"/>
    </row>
    <row r="748" spans="4:10" x14ac:dyDescent="0.3">
      <c r="G748">
        <v>1400</v>
      </c>
      <c r="H748" s="114">
        <v>25030</v>
      </c>
      <c r="I748" s="114">
        <v>26390</v>
      </c>
      <c r="J748" s="113"/>
    </row>
    <row r="749" spans="4:10" x14ac:dyDescent="0.3">
      <c r="G749">
        <v>1200</v>
      </c>
      <c r="H749" s="114">
        <v>21880</v>
      </c>
      <c r="I749" s="114">
        <v>23140</v>
      </c>
      <c r="J749" s="113"/>
    </row>
    <row r="750" spans="4:10" x14ac:dyDescent="0.3">
      <c r="F750">
        <v>440</v>
      </c>
      <c r="G750">
        <v>1600</v>
      </c>
      <c r="H750" s="114">
        <v>25020</v>
      </c>
      <c r="I750" s="114">
        <v>26180</v>
      </c>
      <c r="J750" s="113"/>
    </row>
    <row r="751" spans="4:10" x14ac:dyDescent="0.3">
      <c r="G751">
        <v>1400</v>
      </c>
      <c r="H751" s="114">
        <v>22780</v>
      </c>
      <c r="I751" s="114">
        <v>23870</v>
      </c>
      <c r="J751" s="113"/>
    </row>
    <row r="752" spans="4:10" x14ac:dyDescent="0.3">
      <c r="G752">
        <v>1200</v>
      </c>
      <c r="H752" s="114">
        <v>19840</v>
      </c>
      <c r="I752" s="114">
        <v>20860</v>
      </c>
      <c r="J752" s="113"/>
    </row>
    <row r="753" spans="4:10" x14ac:dyDescent="0.3">
      <c r="E753">
        <v>2400</v>
      </c>
      <c r="F753">
        <v>600</v>
      </c>
      <c r="G753">
        <v>1600</v>
      </c>
      <c r="H753" s="114">
        <v>29880</v>
      </c>
      <c r="I753" s="114">
        <v>31430</v>
      </c>
      <c r="J753" s="113"/>
    </row>
    <row r="754" spans="4:10" x14ac:dyDescent="0.3">
      <c r="G754">
        <v>1400</v>
      </c>
      <c r="H754" s="114">
        <v>27270</v>
      </c>
      <c r="I754" s="114">
        <v>28760</v>
      </c>
      <c r="J754" s="113"/>
    </row>
    <row r="755" spans="4:10" x14ac:dyDescent="0.3">
      <c r="G755">
        <v>1200</v>
      </c>
      <c r="H755" s="114">
        <v>23830</v>
      </c>
      <c r="I755" s="114">
        <v>25190</v>
      </c>
      <c r="J755" s="113"/>
    </row>
    <row r="756" spans="4:10" x14ac:dyDescent="0.3">
      <c r="F756">
        <v>440</v>
      </c>
      <c r="G756">
        <v>1600</v>
      </c>
      <c r="H756" s="114">
        <v>26610</v>
      </c>
      <c r="I756" s="114">
        <v>27800</v>
      </c>
      <c r="J756" s="113"/>
    </row>
    <row r="757" spans="4:10" x14ac:dyDescent="0.3">
      <c r="G757">
        <v>1400</v>
      </c>
      <c r="H757" s="114">
        <v>24190</v>
      </c>
      <c r="I757" s="114">
        <v>25300</v>
      </c>
      <c r="J757" s="113"/>
    </row>
    <row r="758" spans="4:10" x14ac:dyDescent="0.3">
      <c r="G758">
        <v>1200</v>
      </c>
      <c r="H758" s="114">
        <v>21470</v>
      </c>
      <c r="I758" s="114">
        <v>22570</v>
      </c>
      <c r="J758" s="113"/>
    </row>
    <row r="759" spans="4:10" x14ac:dyDescent="0.3">
      <c r="D759" t="s">
        <v>1014</v>
      </c>
      <c r="E759">
        <v>2200</v>
      </c>
      <c r="F759">
        <v>600</v>
      </c>
      <c r="G759">
        <v>1600</v>
      </c>
      <c r="H759" s="114">
        <v>27450</v>
      </c>
      <c r="I759" s="114">
        <v>28890</v>
      </c>
      <c r="J759" s="113"/>
    </row>
    <row r="760" spans="4:10" x14ac:dyDescent="0.3">
      <c r="G760">
        <v>1400</v>
      </c>
      <c r="H760" s="114">
        <v>25030</v>
      </c>
      <c r="I760" s="114">
        <v>26390</v>
      </c>
      <c r="J760" s="113"/>
    </row>
    <row r="761" spans="4:10" x14ac:dyDescent="0.3">
      <c r="G761">
        <v>1200</v>
      </c>
      <c r="H761" s="114">
        <v>21880</v>
      </c>
      <c r="I761" s="114">
        <v>23140</v>
      </c>
      <c r="J761" s="113"/>
    </row>
    <row r="762" spans="4:10" x14ac:dyDescent="0.3">
      <c r="F762">
        <v>440</v>
      </c>
      <c r="G762">
        <v>1600</v>
      </c>
      <c r="H762" s="114">
        <v>25020</v>
      </c>
      <c r="I762" s="114">
        <v>26180</v>
      </c>
      <c r="J762" s="113"/>
    </row>
    <row r="763" spans="4:10" x14ac:dyDescent="0.3">
      <c r="G763">
        <v>1400</v>
      </c>
      <c r="H763" s="114">
        <v>22780</v>
      </c>
      <c r="I763" s="114">
        <v>23870</v>
      </c>
      <c r="J763" s="113"/>
    </row>
    <row r="764" spans="4:10" x14ac:dyDescent="0.3">
      <c r="G764">
        <v>1200</v>
      </c>
      <c r="H764" s="114">
        <v>19840</v>
      </c>
      <c r="I764" s="114">
        <v>20860</v>
      </c>
      <c r="J764" s="113"/>
    </row>
    <row r="765" spans="4:10" x14ac:dyDescent="0.3">
      <c r="E765">
        <v>2400</v>
      </c>
      <c r="F765">
        <v>600</v>
      </c>
      <c r="G765">
        <v>1600</v>
      </c>
      <c r="H765" s="114">
        <v>29880</v>
      </c>
      <c r="I765" s="114">
        <v>31430</v>
      </c>
      <c r="J765" s="113"/>
    </row>
    <row r="766" spans="4:10" x14ac:dyDescent="0.3">
      <c r="G766">
        <v>1400</v>
      </c>
      <c r="H766" s="114">
        <v>27270</v>
      </c>
      <c r="I766" s="114">
        <v>28760</v>
      </c>
      <c r="J766" s="113"/>
    </row>
    <row r="767" spans="4:10" x14ac:dyDescent="0.3">
      <c r="G767">
        <v>1200</v>
      </c>
      <c r="H767" s="114">
        <v>23830</v>
      </c>
      <c r="I767" s="114">
        <v>25190</v>
      </c>
      <c r="J767" s="113"/>
    </row>
    <row r="768" spans="4:10" x14ac:dyDescent="0.3">
      <c r="F768">
        <v>440</v>
      </c>
      <c r="G768">
        <v>1600</v>
      </c>
      <c r="H768" s="114">
        <v>26610</v>
      </c>
      <c r="I768" s="114">
        <v>27800</v>
      </c>
      <c r="J768" s="113"/>
    </row>
    <row r="769" spans="4:10" x14ac:dyDescent="0.3">
      <c r="G769">
        <v>1400</v>
      </c>
      <c r="H769" s="114">
        <v>24190</v>
      </c>
      <c r="I769" s="114">
        <v>25300</v>
      </c>
      <c r="J769" s="113"/>
    </row>
    <row r="770" spans="4:10" x14ac:dyDescent="0.3">
      <c r="G770">
        <v>1200</v>
      </c>
      <c r="H770" s="114">
        <v>21470</v>
      </c>
      <c r="I770" s="114">
        <v>22570</v>
      </c>
      <c r="J770" s="113"/>
    </row>
    <row r="771" spans="4:10" x14ac:dyDescent="0.3">
      <c r="D771" t="s">
        <v>1015</v>
      </c>
      <c r="E771">
        <v>2200</v>
      </c>
      <c r="F771">
        <v>600</v>
      </c>
      <c r="G771">
        <v>1600</v>
      </c>
      <c r="H771" s="114">
        <v>27450</v>
      </c>
      <c r="I771" s="114">
        <v>28890</v>
      </c>
      <c r="J771" s="113"/>
    </row>
    <row r="772" spans="4:10" x14ac:dyDescent="0.3">
      <c r="G772">
        <v>1400</v>
      </c>
      <c r="H772" s="114">
        <v>25030</v>
      </c>
      <c r="I772" s="114">
        <v>26390</v>
      </c>
      <c r="J772" s="113"/>
    </row>
    <row r="773" spans="4:10" x14ac:dyDescent="0.3">
      <c r="G773">
        <v>1200</v>
      </c>
      <c r="H773" s="114">
        <v>21880</v>
      </c>
      <c r="I773" s="114">
        <v>23140</v>
      </c>
      <c r="J773" s="113"/>
    </row>
    <row r="774" spans="4:10" x14ac:dyDescent="0.3">
      <c r="F774">
        <v>440</v>
      </c>
      <c r="G774">
        <v>1600</v>
      </c>
      <c r="H774" s="114">
        <v>25020</v>
      </c>
      <c r="I774" s="114">
        <v>26180</v>
      </c>
      <c r="J774" s="113"/>
    </row>
    <row r="775" spans="4:10" x14ac:dyDescent="0.3">
      <c r="G775">
        <v>1400</v>
      </c>
      <c r="H775" s="114">
        <v>22780</v>
      </c>
      <c r="I775" s="114">
        <v>23870</v>
      </c>
      <c r="J775" s="113"/>
    </row>
    <row r="776" spans="4:10" x14ac:dyDescent="0.3">
      <c r="G776">
        <v>1200</v>
      </c>
      <c r="H776" s="114">
        <v>19840</v>
      </c>
      <c r="I776" s="114">
        <v>20860</v>
      </c>
      <c r="J776" s="113"/>
    </row>
    <row r="777" spans="4:10" x14ac:dyDescent="0.3">
      <c r="E777">
        <v>2400</v>
      </c>
      <c r="F777">
        <v>600</v>
      </c>
      <c r="G777">
        <v>1600</v>
      </c>
      <c r="H777" s="114">
        <v>29880</v>
      </c>
      <c r="I777" s="114">
        <v>31430</v>
      </c>
      <c r="J777" s="113"/>
    </row>
    <row r="778" spans="4:10" x14ac:dyDescent="0.3">
      <c r="G778">
        <v>1400</v>
      </c>
      <c r="H778" s="114">
        <v>27270</v>
      </c>
      <c r="I778" s="114">
        <v>28760</v>
      </c>
      <c r="J778" s="113"/>
    </row>
    <row r="779" spans="4:10" x14ac:dyDescent="0.3">
      <c r="G779">
        <v>1200</v>
      </c>
      <c r="H779" s="114">
        <v>23830</v>
      </c>
      <c r="I779" s="114">
        <v>25190</v>
      </c>
      <c r="J779" s="113"/>
    </row>
    <row r="780" spans="4:10" x14ac:dyDescent="0.3">
      <c r="F780">
        <v>440</v>
      </c>
      <c r="G780">
        <v>1600</v>
      </c>
      <c r="H780" s="114">
        <v>26610</v>
      </c>
      <c r="I780" s="114">
        <v>27800</v>
      </c>
      <c r="J780" s="113"/>
    </row>
    <row r="781" spans="4:10" x14ac:dyDescent="0.3">
      <c r="G781">
        <v>1400</v>
      </c>
      <c r="H781" s="114">
        <v>24190</v>
      </c>
      <c r="I781" s="114">
        <v>25300</v>
      </c>
      <c r="J781" s="113"/>
    </row>
    <row r="782" spans="4:10" x14ac:dyDescent="0.3">
      <c r="G782">
        <v>1200</v>
      </c>
      <c r="H782" s="114">
        <v>21470</v>
      </c>
      <c r="I782" s="114">
        <v>22570</v>
      </c>
      <c r="J782" s="113"/>
    </row>
    <row r="783" spans="4:10" x14ac:dyDescent="0.3">
      <c r="D783" t="s">
        <v>1016</v>
      </c>
      <c r="E783">
        <v>2200</v>
      </c>
      <c r="F783">
        <v>600</v>
      </c>
      <c r="G783">
        <v>1600</v>
      </c>
      <c r="H783" s="114">
        <v>27450</v>
      </c>
      <c r="I783" s="114">
        <v>28890</v>
      </c>
      <c r="J783" s="113"/>
    </row>
    <row r="784" spans="4:10" x14ac:dyDescent="0.3">
      <c r="G784">
        <v>1400</v>
      </c>
      <c r="H784" s="114">
        <v>25030</v>
      </c>
      <c r="I784" s="114">
        <v>26390</v>
      </c>
      <c r="J784" s="113"/>
    </row>
    <row r="785" spans="4:10" x14ac:dyDescent="0.3">
      <c r="G785">
        <v>1200</v>
      </c>
      <c r="H785" s="114">
        <v>21880</v>
      </c>
      <c r="I785" s="114">
        <v>23140</v>
      </c>
      <c r="J785" s="113"/>
    </row>
    <row r="786" spans="4:10" x14ac:dyDescent="0.3">
      <c r="F786">
        <v>440</v>
      </c>
      <c r="G786">
        <v>1600</v>
      </c>
      <c r="H786" s="114">
        <v>25020</v>
      </c>
      <c r="I786" s="114">
        <v>26180</v>
      </c>
      <c r="J786" s="113"/>
    </row>
    <row r="787" spans="4:10" x14ac:dyDescent="0.3">
      <c r="G787">
        <v>1400</v>
      </c>
      <c r="H787" s="114">
        <v>22780</v>
      </c>
      <c r="I787" s="114">
        <v>23870</v>
      </c>
      <c r="J787" s="113"/>
    </row>
    <row r="788" spans="4:10" x14ac:dyDescent="0.3">
      <c r="G788">
        <v>1200</v>
      </c>
      <c r="H788" s="114">
        <v>19840</v>
      </c>
      <c r="I788" s="114">
        <v>20860</v>
      </c>
      <c r="J788" s="113"/>
    </row>
    <row r="789" spans="4:10" x14ac:dyDescent="0.3">
      <c r="E789">
        <v>2400</v>
      </c>
      <c r="F789">
        <v>600</v>
      </c>
      <c r="G789">
        <v>1600</v>
      </c>
      <c r="H789" s="114">
        <v>29880</v>
      </c>
      <c r="I789" s="114">
        <v>31430</v>
      </c>
      <c r="J789" s="113"/>
    </row>
    <row r="790" spans="4:10" x14ac:dyDescent="0.3">
      <c r="G790">
        <v>1400</v>
      </c>
      <c r="H790" s="114">
        <v>27270</v>
      </c>
      <c r="I790" s="114">
        <v>28760</v>
      </c>
      <c r="J790" s="113"/>
    </row>
    <row r="791" spans="4:10" x14ac:dyDescent="0.3">
      <c r="G791">
        <v>1200</v>
      </c>
      <c r="H791" s="114">
        <v>23830</v>
      </c>
      <c r="I791" s="114">
        <v>25190</v>
      </c>
      <c r="J791" s="113"/>
    </row>
    <row r="792" spans="4:10" x14ac:dyDescent="0.3">
      <c r="F792">
        <v>440</v>
      </c>
      <c r="G792">
        <v>1600</v>
      </c>
      <c r="H792" s="114">
        <v>26610</v>
      </c>
      <c r="I792" s="114">
        <v>27800</v>
      </c>
      <c r="J792" s="113"/>
    </row>
    <row r="793" spans="4:10" x14ac:dyDescent="0.3">
      <c r="G793">
        <v>1400</v>
      </c>
      <c r="H793" s="114">
        <v>24190</v>
      </c>
      <c r="I793" s="114">
        <v>25300</v>
      </c>
      <c r="J793" s="113"/>
    </row>
    <row r="794" spans="4:10" x14ac:dyDescent="0.3">
      <c r="G794">
        <v>1200</v>
      </c>
      <c r="H794" s="114">
        <v>21470</v>
      </c>
      <c r="I794" s="114">
        <v>22570</v>
      </c>
      <c r="J794" s="113"/>
    </row>
    <row r="795" spans="4:10" x14ac:dyDescent="0.3">
      <c r="D795" t="s">
        <v>1017</v>
      </c>
      <c r="E795">
        <v>2200</v>
      </c>
      <c r="F795">
        <v>600</v>
      </c>
      <c r="G795">
        <v>1600</v>
      </c>
      <c r="H795" s="114">
        <v>27450</v>
      </c>
      <c r="I795" s="114">
        <v>28890</v>
      </c>
      <c r="J795" s="113"/>
    </row>
    <row r="796" spans="4:10" x14ac:dyDescent="0.3">
      <c r="G796">
        <v>1400</v>
      </c>
      <c r="H796" s="114">
        <v>25030</v>
      </c>
      <c r="I796" s="114">
        <v>26390</v>
      </c>
      <c r="J796" s="113"/>
    </row>
    <row r="797" spans="4:10" x14ac:dyDescent="0.3">
      <c r="G797">
        <v>1200</v>
      </c>
      <c r="H797" s="114">
        <v>21880</v>
      </c>
      <c r="I797" s="114">
        <v>23140</v>
      </c>
      <c r="J797" s="113"/>
    </row>
    <row r="798" spans="4:10" x14ac:dyDescent="0.3">
      <c r="F798">
        <v>440</v>
      </c>
      <c r="G798">
        <v>1600</v>
      </c>
      <c r="H798" s="114">
        <v>25020</v>
      </c>
      <c r="I798" s="114">
        <v>26180</v>
      </c>
      <c r="J798" s="113"/>
    </row>
    <row r="799" spans="4:10" x14ac:dyDescent="0.3">
      <c r="G799">
        <v>1400</v>
      </c>
      <c r="H799" s="114">
        <v>22780</v>
      </c>
      <c r="I799" s="114">
        <v>23870</v>
      </c>
      <c r="J799" s="113"/>
    </row>
    <row r="800" spans="4:10" x14ac:dyDescent="0.3">
      <c r="G800">
        <v>1200</v>
      </c>
      <c r="H800" s="114">
        <v>19840</v>
      </c>
      <c r="I800" s="114">
        <v>20860</v>
      </c>
      <c r="J800" s="113"/>
    </row>
    <row r="801" spans="4:10" x14ac:dyDescent="0.3">
      <c r="E801">
        <v>2400</v>
      </c>
      <c r="F801">
        <v>600</v>
      </c>
      <c r="G801">
        <v>1600</v>
      </c>
      <c r="H801" s="114">
        <v>29880</v>
      </c>
      <c r="I801" s="114">
        <v>31430</v>
      </c>
      <c r="J801" s="113"/>
    </row>
    <row r="802" spans="4:10" x14ac:dyDescent="0.3">
      <c r="G802">
        <v>1400</v>
      </c>
      <c r="H802" s="114">
        <v>27270</v>
      </c>
      <c r="I802" s="114">
        <v>28760</v>
      </c>
      <c r="J802" s="113"/>
    </row>
    <row r="803" spans="4:10" x14ac:dyDescent="0.3">
      <c r="G803">
        <v>1200</v>
      </c>
      <c r="H803" s="114">
        <v>23830</v>
      </c>
      <c r="I803" s="114">
        <v>25190</v>
      </c>
      <c r="J803" s="113"/>
    </row>
    <row r="804" spans="4:10" x14ac:dyDescent="0.3">
      <c r="F804">
        <v>440</v>
      </c>
      <c r="G804">
        <v>1600</v>
      </c>
      <c r="H804" s="114">
        <v>26610</v>
      </c>
      <c r="I804" s="114">
        <v>27800</v>
      </c>
      <c r="J804" s="113"/>
    </row>
    <row r="805" spans="4:10" x14ac:dyDescent="0.3">
      <c r="G805">
        <v>1400</v>
      </c>
      <c r="H805" s="114">
        <v>24190</v>
      </c>
      <c r="I805" s="114">
        <v>25300</v>
      </c>
      <c r="J805" s="113"/>
    </row>
    <row r="806" spans="4:10" x14ac:dyDescent="0.3">
      <c r="G806">
        <v>1200</v>
      </c>
      <c r="H806" s="114">
        <v>21470</v>
      </c>
      <c r="I806" s="114">
        <v>22570</v>
      </c>
      <c r="J806" s="113"/>
    </row>
    <row r="807" spans="4:10" x14ac:dyDescent="0.3">
      <c r="D807" t="s">
        <v>1018</v>
      </c>
      <c r="E807">
        <v>2200</v>
      </c>
      <c r="F807">
        <v>600</v>
      </c>
      <c r="G807">
        <v>1600</v>
      </c>
      <c r="H807" s="114">
        <v>27450</v>
      </c>
      <c r="I807" s="114">
        <v>28890</v>
      </c>
      <c r="J807" s="113"/>
    </row>
    <row r="808" spans="4:10" x14ac:dyDescent="0.3">
      <c r="G808">
        <v>1400</v>
      </c>
      <c r="H808" s="114">
        <v>25030</v>
      </c>
      <c r="I808" s="114">
        <v>26390</v>
      </c>
      <c r="J808" s="113"/>
    </row>
    <row r="809" spans="4:10" x14ac:dyDescent="0.3">
      <c r="G809">
        <v>1200</v>
      </c>
      <c r="H809" s="114">
        <v>21880</v>
      </c>
      <c r="I809" s="114">
        <v>23140</v>
      </c>
      <c r="J809" s="113"/>
    </row>
    <row r="810" spans="4:10" x14ac:dyDescent="0.3">
      <c r="F810">
        <v>440</v>
      </c>
      <c r="G810">
        <v>1600</v>
      </c>
      <c r="H810" s="114">
        <v>25020</v>
      </c>
      <c r="I810" s="114">
        <v>26180</v>
      </c>
      <c r="J810" s="113"/>
    </row>
    <row r="811" spans="4:10" x14ac:dyDescent="0.3">
      <c r="G811">
        <v>1400</v>
      </c>
      <c r="H811" s="114">
        <v>22780</v>
      </c>
      <c r="I811" s="114">
        <v>23870</v>
      </c>
      <c r="J811" s="113"/>
    </row>
    <row r="812" spans="4:10" x14ac:dyDescent="0.3">
      <c r="G812">
        <v>1200</v>
      </c>
      <c r="H812" s="114">
        <v>19840</v>
      </c>
      <c r="I812" s="114">
        <v>20860</v>
      </c>
      <c r="J812" s="113"/>
    </row>
    <row r="813" spans="4:10" x14ac:dyDescent="0.3">
      <c r="E813">
        <v>2400</v>
      </c>
      <c r="F813">
        <v>600</v>
      </c>
      <c r="G813">
        <v>1600</v>
      </c>
      <c r="H813" s="114">
        <v>29880</v>
      </c>
      <c r="I813" s="114">
        <v>31430</v>
      </c>
      <c r="J813" s="113"/>
    </row>
    <row r="814" spans="4:10" x14ac:dyDescent="0.3">
      <c r="G814">
        <v>1400</v>
      </c>
      <c r="H814" s="114">
        <v>27270</v>
      </c>
      <c r="I814" s="114">
        <v>28760</v>
      </c>
      <c r="J814" s="113"/>
    </row>
    <row r="815" spans="4:10" x14ac:dyDescent="0.3">
      <c r="G815">
        <v>1200</v>
      </c>
      <c r="H815" s="114">
        <v>23830</v>
      </c>
      <c r="I815" s="114">
        <v>25190</v>
      </c>
      <c r="J815" s="113"/>
    </row>
    <row r="816" spans="4:10" x14ac:dyDescent="0.3">
      <c r="F816">
        <v>440</v>
      </c>
      <c r="G816">
        <v>1600</v>
      </c>
      <c r="H816" s="114">
        <v>26610</v>
      </c>
      <c r="I816" s="114">
        <v>27800</v>
      </c>
      <c r="J816" s="113"/>
    </row>
    <row r="817" spans="4:10" x14ac:dyDescent="0.3">
      <c r="G817">
        <v>1400</v>
      </c>
      <c r="H817" s="114">
        <v>24190</v>
      </c>
      <c r="I817" s="114">
        <v>25300</v>
      </c>
      <c r="J817" s="113"/>
    </row>
    <row r="818" spans="4:10" x14ac:dyDescent="0.3">
      <c r="G818">
        <v>1200</v>
      </c>
      <c r="H818" s="114">
        <v>21470</v>
      </c>
      <c r="I818" s="114">
        <v>22570</v>
      </c>
      <c r="J818" s="113"/>
    </row>
    <row r="819" spans="4:10" x14ac:dyDescent="0.3">
      <c r="D819" t="s">
        <v>1019</v>
      </c>
      <c r="E819">
        <v>2200</v>
      </c>
      <c r="F819">
        <v>600</v>
      </c>
      <c r="G819">
        <v>1600</v>
      </c>
      <c r="H819" s="114">
        <v>27450</v>
      </c>
      <c r="I819" s="114">
        <v>28890</v>
      </c>
      <c r="J819" s="113"/>
    </row>
    <row r="820" spans="4:10" x14ac:dyDescent="0.3">
      <c r="G820">
        <v>1400</v>
      </c>
      <c r="H820" s="114">
        <v>25030</v>
      </c>
      <c r="I820" s="114">
        <v>26390</v>
      </c>
      <c r="J820" s="113"/>
    </row>
    <row r="821" spans="4:10" x14ac:dyDescent="0.3">
      <c r="G821">
        <v>1200</v>
      </c>
      <c r="H821" s="114">
        <v>21880</v>
      </c>
      <c r="I821" s="114">
        <v>23140</v>
      </c>
      <c r="J821" s="113"/>
    </row>
    <row r="822" spans="4:10" x14ac:dyDescent="0.3">
      <c r="F822">
        <v>440</v>
      </c>
      <c r="G822">
        <v>1600</v>
      </c>
      <c r="H822" s="114">
        <v>25020</v>
      </c>
      <c r="I822" s="114">
        <v>26180</v>
      </c>
      <c r="J822" s="113"/>
    </row>
    <row r="823" spans="4:10" x14ac:dyDescent="0.3">
      <c r="G823">
        <v>1400</v>
      </c>
      <c r="H823" s="114">
        <v>22780</v>
      </c>
      <c r="I823" s="114">
        <v>23870</v>
      </c>
      <c r="J823" s="113"/>
    </row>
    <row r="824" spans="4:10" x14ac:dyDescent="0.3">
      <c r="G824">
        <v>1200</v>
      </c>
      <c r="H824" s="114">
        <v>19840</v>
      </c>
      <c r="I824" s="114">
        <v>20860</v>
      </c>
      <c r="J824" s="113"/>
    </row>
    <row r="825" spans="4:10" x14ac:dyDescent="0.3">
      <c r="E825">
        <v>2400</v>
      </c>
      <c r="F825">
        <v>600</v>
      </c>
      <c r="G825">
        <v>1600</v>
      </c>
      <c r="H825" s="114">
        <v>29880</v>
      </c>
      <c r="I825" s="114">
        <v>31430</v>
      </c>
      <c r="J825" s="113"/>
    </row>
    <row r="826" spans="4:10" x14ac:dyDescent="0.3">
      <c r="G826">
        <v>1400</v>
      </c>
      <c r="H826" s="114">
        <v>27270</v>
      </c>
      <c r="I826" s="114">
        <v>28760</v>
      </c>
      <c r="J826" s="113"/>
    </row>
    <row r="827" spans="4:10" x14ac:dyDescent="0.3">
      <c r="G827">
        <v>1200</v>
      </c>
      <c r="H827" s="114">
        <v>23830</v>
      </c>
      <c r="I827" s="114">
        <v>25190</v>
      </c>
      <c r="J827" s="113"/>
    </row>
    <row r="828" spans="4:10" x14ac:dyDescent="0.3">
      <c r="F828">
        <v>440</v>
      </c>
      <c r="G828">
        <v>1600</v>
      </c>
      <c r="H828" s="114">
        <v>26610</v>
      </c>
      <c r="I828" s="114">
        <v>27800</v>
      </c>
      <c r="J828" s="113"/>
    </row>
    <row r="829" spans="4:10" x14ac:dyDescent="0.3">
      <c r="G829">
        <v>1400</v>
      </c>
      <c r="H829" s="114">
        <v>24190</v>
      </c>
      <c r="I829" s="114">
        <v>25300</v>
      </c>
      <c r="J829" s="113"/>
    </row>
    <row r="830" spans="4:10" x14ac:dyDescent="0.3">
      <c r="G830">
        <v>1200</v>
      </c>
      <c r="H830" s="114">
        <v>21470</v>
      </c>
      <c r="I830" s="114">
        <v>22570</v>
      </c>
      <c r="J830" s="113"/>
    </row>
    <row r="831" spans="4:10" x14ac:dyDescent="0.3">
      <c r="D831" t="s">
        <v>1020</v>
      </c>
      <c r="E831">
        <v>2200</v>
      </c>
      <c r="F831">
        <v>600</v>
      </c>
      <c r="G831">
        <v>1600</v>
      </c>
      <c r="H831" s="114">
        <v>27450</v>
      </c>
      <c r="I831" s="114">
        <v>28890</v>
      </c>
      <c r="J831" s="113"/>
    </row>
    <row r="832" spans="4:10" x14ac:dyDescent="0.3">
      <c r="G832">
        <v>1400</v>
      </c>
      <c r="H832" s="114">
        <v>25030</v>
      </c>
      <c r="I832" s="114">
        <v>26390</v>
      </c>
      <c r="J832" s="113"/>
    </row>
    <row r="833" spans="4:10" x14ac:dyDescent="0.3">
      <c r="G833">
        <v>1200</v>
      </c>
      <c r="H833" s="114">
        <v>21880</v>
      </c>
      <c r="I833" s="114">
        <v>23140</v>
      </c>
      <c r="J833" s="113"/>
    </row>
    <row r="834" spans="4:10" x14ac:dyDescent="0.3">
      <c r="F834">
        <v>440</v>
      </c>
      <c r="G834">
        <v>1600</v>
      </c>
      <c r="H834" s="114">
        <v>25020</v>
      </c>
      <c r="I834" s="114">
        <v>26180</v>
      </c>
      <c r="J834" s="113"/>
    </row>
    <row r="835" spans="4:10" x14ac:dyDescent="0.3">
      <c r="G835">
        <v>1400</v>
      </c>
      <c r="H835" s="114">
        <v>22780</v>
      </c>
      <c r="I835" s="114">
        <v>23870</v>
      </c>
      <c r="J835" s="113"/>
    </row>
    <row r="836" spans="4:10" x14ac:dyDescent="0.3">
      <c r="G836">
        <v>1200</v>
      </c>
      <c r="H836" s="114">
        <v>19840</v>
      </c>
      <c r="I836" s="114">
        <v>20860</v>
      </c>
      <c r="J836" s="113"/>
    </row>
    <row r="837" spans="4:10" x14ac:dyDescent="0.3">
      <c r="E837">
        <v>2400</v>
      </c>
      <c r="F837">
        <v>600</v>
      </c>
      <c r="G837">
        <v>1600</v>
      </c>
      <c r="H837" s="114">
        <v>29880</v>
      </c>
      <c r="I837" s="114">
        <v>31430</v>
      </c>
      <c r="J837" s="113"/>
    </row>
    <row r="838" spans="4:10" x14ac:dyDescent="0.3">
      <c r="G838">
        <v>1400</v>
      </c>
      <c r="H838" s="114">
        <v>27270</v>
      </c>
      <c r="I838" s="114">
        <v>28760</v>
      </c>
      <c r="J838" s="113"/>
    </row>
    <row r="839" spans="4:10" x14ac:dyDescent="0.3">
      <c r="G839">
        <v>1200</v>
      </c>
      <c r="H839" s="114">
        <v>23830</v>
      </c>
      <c r="I839" s="114">
        <v>25190</v>
      </c>
      <c r="J839" s="113"/>
    </row>
    <row r="840" spans="4:10" x14ac:dyDescent="0.3">
      <c r="F840">
        <v>440</v>
      </c>
      <c r="G840">
        <v>1600</v>
      </c>
      <c r="H840" s="114">
        <v>26610</v>
      </c>
      <c r="I840" s="114">
        <v>27800</v>
      </c>
      <c r="J840" s="113"/>
    </row>
    <row r="841" spans="4:10" x14ac:dyDescent="0.3">
      <c r="G841">
        <v>1400</v>
      </c>
      <c r="H841" s="114">
        <v>24190</v>
      </c>
      <c r="I841" s="114">
        <v>25300</v>
      </c>
      <c r="J841" s="113"/>
    </row>
    <row r="842" spans="4:10" x14ac:dyDescent="0.3">
      <c r="G842">
        <v>1200</v>
      </c>
      <c r="H842" s="114">
        <v>21470</v>
      </c>
      <c r="I842" s="114">
        <v>22570</v>
      </c>
      <c r="J842" s="113"/>
    </row>
    <row r="843" spans="4:10" x14ac:dyDescent="0.3">
      <c r="D843" t="s">
        <v>1021</v>
      </c>
      <c r="E843">
        <v>2200</v>
      </c>
      <c r="F843">
        <v>600</v>
      </c>
      <c r="G843">
        <v>1600</v>
      </c>
      <c r="H843" s="114">
        <v>27450</v>
      </c>
      <c r="I843" s="114">
        <v>28890</v>
      </c>
      <c r="J843" s="113"/>
    </row>
    <row r="844" spans="4:10" x14ac:dyDescent="0.3">
      <c r="G844">
        <v>1400</v>
      </c>
      <c r="H844" s="114">
        <v>25030</v>
      </c>
      <c r="I844" s="114">
        <v>26390</v>
      </c>
      <c r="J844" s="113"/>
    </row>
    <row r="845" spans="4:10" x14ac:dyDescent="0.3">
      <c r="G845">
        <v>1200</v>
      </c>
      <c r="H845" s="114">
        <v>21880</v>
      </c>
      <c r="I845" s="114">
        <v>23140</v>
      </c>
      <c r="J845" s="113"/>
    </row>
    <row r="846" spans="4:10" x14ac:dyDescent="0.3">
      <c r="F846">
        <v>440</v>
      </c>
      <c r="G846">
        <v>1600</v>
      </c>
      <c r="H846" s="114">
        <v>25020</v>
      </c>
      <c r="I846" s="114">
        <v>26180</v>
      </c>
      <c r="J846" s="113"/>
    </row>
    <row r="847" spans="4:10" x14ac:dyDescent="0.3">
      <c r="G847">
        <v>1400</v>
      </c>
      <c r="H847" s="114">
        <v>22780</v>
      </c>
      <c r="I847" s="114">
        <v>23870</v>
      </c>
      <c r="J847" s="113"/>
    </row>
    <row r="848" spans="4:10" x14ac:dyDescent="0.3">
      <c r="G848">
        <v>1200</v>
      </c>
      <c r="H848" s="114">
        <v>19840</v>
      </c>
      <c r="I848" s="114">
        <v>20860</v>
      </c>
      <c r="J848" s="113"/>
    </row>
    <row r="849" spans="3:10" x14ac:dyDescent="0.3">
      <c r="E849">
        <v>2400</v>
      </c>
      <c r="F849">
        <v>600</v>
      </c>
      <c r="G849">
        <v>1600</v>
      </c>
      <c r="H849" s="114">
        <v>29880</v>
      </c>
      <c r="I849" s="114">
        <v>31430</v>
      </c>
      <c r="J849" s="113"/>
    </row>
    <row r="850" spans="3:10" x14ac:dyDescent="0.3">
      <c r="G850">
        <v>1400</v>
      </c>
      <c r="H850" s="114">
        <v>27270</v>
      </c>
      <c r="I850" s="114">
        <v>28760</v>
      </c>
      <c r="J850" s="113"/>
    </row>
    <row r="851" spans="3:10" x14ac:dyDescent="0.3">
      <c r="G851">
        <v>1200</v>
      </c>
      <c r="H851" s="114">
        <v>23830</v>
      </c>
      <c r="I851" s="114">
        <v>25190</v>
      </c>
      <c r="J851" s="113"/>
    </row>
    <row r="852" spans="3:10" x14ac:dyDescent="0.3">
      <c r="F852">
        <v>440</v>
      </c>
      <c r="G852">
        <v>1600</v>
      </c>
      <c r="H852" s="114">
        <v>26610</v>
      </c>
      <c r="I852" s="114">
        <v>27800</v>
      </c>
      <c r="J852" s="113"/>
    </row>
    <row r="853" spans="3:10" x14ac:dyDescent="0.3">
      <c r="G853">
        <v>1400</v>
      </c>
      <c r="H853" s="114">
        <v>24190</v>
      </c>
      <c r="I853" s="114">
        <v>25300</v>
      </c>
      <c r="J853" s="113"/>
    </row>
    <row r="854" spans="3:10" x14ac:dyDescent="0.3">
      <c r="G854">
        <v>1200</v>
      </c>
      <c r="H854" s="114">
        <v>21470</v>
      </c>
      <c r="I854" s="114">
        <v>22570</v>
      </c>
      <c r="J854" s="113"/>
    </row>
    <row r="855" spans="3:10" x14ac:dyDescent="0.3">
      <c r="D855" t="s">
        <v>1022</v>
      </c>
      <c r="E855">
        <v>1200</v>
      </c>
      <c r="F855">
        <v>2200</v>
      </c>
      <c r="G855">
        <v>600</v>
      </c>
      <c r="H855" s="114">
        <v>17040</v>
      </c>
      <c r="I855" s="114">
        <v>18100</v>
      </c>
      <c r="J855" s="113"/>
    </row>
    <row r="856" spans="3:10" x14ac:dyDescent="0.3">
      <c r="D856" t="s">
        <v>1023</v>
      </c>
      <c r="E856">
        <v>1200</v>
      </c>
      <c r="F856">
        <v>2200</v>
      </c>
      <c r="G856">
        <v>600</v>
      </c>
      <c r="H856" s="114">
        <v>15240</v>
      </c>
      <c r="I856" s="114">
        <v>17060</v>
      </c>
      <c r="J856" s="113"/>
    </row>
    <row r="857" spans="3:10" x14ac:dyDescent="0.3">
      <c r="D857" t="s">
        <v>1024</v>
      </c>
      <c r="E857">
        <v>1200</v>
      </c>
      <c r="F857">
        <v>2200</v>
      </c>
      <c r="G857">
        <v>600</v>
      </c>
      <c r="H857" s="114">
        <v>16140</v>
      </c>
      <c r="I857" s="114">
        <v>17580</v>
      </c>
      <c r="J857" s="113"/>
    </row>
    <row r="858" spans="3:10" x14ac:dyDescent="0.3">
      <c r="C858" t="s">
        <v>829</v>
      </c>
      <c r="D858" t="s">
        <v>254</v>
      </c>
      <c r="E858">
        <v>1800</v>
      </c>
      <c r="F858">
        <v>2200</v>
      </c>
      <c r="G858">
        <v>440</v>
      </c>
      <c r="H858" s="114">
        <v>27730</v>
      </c>
      <c r="I858" s="114">
        <v>29050</v>
      </c>
      <c r="J858" s="113"/>
    </row>
    <row r="859" spans="3:10" x14ac:dyDescent="0.3">
      <c r="G859">
        <v>600</v>
      </c>
      <c r="H859" s="114">
        <v>30600</v>
      </c>
      <c r="I859" s="114">
        <v>32250</v>
      </c>
      <c r="J859" s="113"/>
    </row>
    <row r="860" spans="3:10" x14ac:dyDescent="0.3">
      <c r="F860">
        <v>2400</v>
      </c>
      <c r="G860">
        <v>440</v>
      </c>
      <c r="H860" s="114">
        <v>29550</v>
      </c>
      <c r="I860" s="114">
        <v>30900</v>
      </c>
      <c r="J860" s="113"/>
    </row>
    <row r="861" spans="3:10" x14ac:dyDescent="0.3">
      <c r="G861">
        <v>600</v>
      </c>
      <c r="H861" s="114">
        <v>33320</v>
      </c>
      <c r="I861" s="114">
        <v>35110</v>
      </c>
      <c r="J861" s="113"/>
    </row>
    <row r="862" spans="3:10" x14ac:dyDescent="0.3">
      <c r="E862">
        <v>2100</v>
      </c>
      <c r="F862">
        <v>2200</v>
      </c>
      <c r="G862">
        <v>440</v>
      </c>
      <c r="H862" s="114">
        <v>32560</v>
      </c>
      <c r="I862" s="114">
        <v>33950</v>
      </c>
      <c r="J862" s="113"/>
    </row>
    <row r="863" spans="3:10" x14ac:dyDescent="0.3">
      <c r="G863">
        <v>600</v>
      </c>
      <c r="H863" s="114">
        <v>35430</v>
      </c>
      <c r="I863" s="114">
        <v>37160</v>
      </c>
      <c r="J863" s="113"/>
    </row>
    <row r="864" spans="3:10" x14ac:dyDescent="0.3">
      <c r="F864">
        <v>2400</v>
      </c>
      <c r="G864">
        <v>440</v>
      </c>
      <c r="H864" s="114">
        <v>34740</v>
      </c>
      <c r="I864" s="114">
        <v>36160</v>
      </c>
      <c r="J864" s="113"/>
    </row>
    <row r="865" spans="4:10" x14ac:dyDescent="0.3">
      <c r="G865">
        <v>600</v>
      </c>
      <c r="H865" s="114">
        <v>38730</v>
      </c>
      <c r="I865" s="114">
        <v>40630</v>
      </c>
      <c r="J865" s="113"/>
    </row>
    <row r="866" spans="4:10" x14ac:dyDescent="0.3">
      <c r="E866">
        <v>2400</v>
      </c>
      <c r="F866">
        <v>2200</v>
      </c>
      <c r="G866">
        <v>440</v>
      </c>
      <c r="H866" s="114">
        <v>37390</v>
      </c>
      <c r="I866" s="114">
        <v>38870</v>
      </c>
      <c r="J866" s="113"/>
    </row>
    <row r="867" spans="4:10" x14ac:dyDescent="0.3">
      <c r="G867">
        <v>600</v>
      </c>
      <c r="H867" s="114">
        <v>40400</v>
      </c>
      <c r="I867" s="114">
        <v>42250</v>
      </c>
      <c r="J867" s="113"/>
    </row>
    <row r="868" spans="4:10" x14ac:dyDescent="0.3">
      <c r="F868">
        <v>2400</v>
      </c>
      <c r="G868">
        <v>440</v>
      </c>
      <c r="H868" s="114">
        <v>39890</v>
      </c>
      <c r="I868" s="114">
        <v>41400</v>
      </c>
      <c r="J868" s="113"/>
    </row>
    <row r="869" spans="4:10" x14ac:dyDescent="0.3">
      <c r="G869">
        <v>600</v>
      </c>
      <c r="H869" s="114">
        <v>44020</v>
      </c>
      <c r="I869" s="114">
        <v>46040</v>
      </c>
      <c r="J869" s="113"/>
    </row>
    <row r="870" spans="4:10" x14ac:dyDescent="0.3">
      <c r="D870" t="s">
        <v>255</v>
      </c>
      <c r="E870">
        <v>1800</v>
      </c>
      <c r="F870">
        <v>2200</v>
      </c>
      <c r="G870">
        <v>440</v>
      </c>
      <c r="H870" s="114">
        <v>27730</v>
      </c>
      <c r="I870" s="114">
        <v>29050</v>
      </c>
      <c r="J870" s="113"/>
    </row>
    <row r="871" spans="4:10" x14ac:dyDescent="0.3">
      <c r="G871">
        <v>600</v>
      </c>
      <c r="H871" s="114">
        <v>30600</v>
      </c>
      <c r="I871" s="114">
        <v>32250</v>
      </c>
      <c r="J871" s="113"/>
    </row>
    <row r="872" spans="4:10" x14ac:dyDescent="0.3">
      <c r="F872">
        <v>2400</v>
      </c>
      <c r="G872">
        <v>440</v>
      </c>
      <c r="H872" s="114">
        <v>29550</v>
      </c>
      <c r="I872" s="114">
        <v>30900</v>
      </c>
      <c r="J872" s="113"/>
    </row>
    <row r="873" spans="4:10" x14ac:dyDescent="0.3">
      <c r="G873">
        <v>600</v>
      </c>
      <c r="H873" s="114">
        <v>33320</v>
      </c>
      <c r="I873" s="114">
        <v>35110</v>
      </c>
      <c r="J873" s="113"/>
    </row>
    <row r="874" spans="4:10" x14ac:dyDescent="0.3">
      <c r="E874">
        <v>2100</v>
      </c>
      <c r="F874">
        <v>2200</v>
      </c>
      <c r="G874">
        <v>440</v>
      </c>
      <c r="H874" s="114">
        <v>32560</v>
      </c>
      <c r="I874" s="114">
        <v>33950</v>
      </c>
      <c r="J874" s="113"/>
    </row>
    <row r="875" spans="4:10" x14ac:dyDescent="0.3">
      <c r="G875">
        <v>600</v>
      </c>
      <c r="H875" s="114">
        <v>35430</v>
      </c>
      <c r="I875" s="114">
        <v>37160</v>
      </c>
      <c r="J875" s="113"/>
    </row>
    <row r="876" spans="4:10" x14ac:dyDescent="0.3">
      <c r="F876">
        <v>2400</v>
      </c>
      <c r="G876">
        <v>440</v>
      </c>
      <c r="H876" s="114">
        <v>34740</v>
      </c>
      <c r="I876" s="114">
        <v>36160</v>
      </c>
      <c r="J876" s="113"/>
    </row>
    <row r="877" spans="4:10" x14ac:dyDescent="0.3">
      <c r="G877">
        <v>600</v>
      </c>
      <c r="H877" s="114">
        <v>38730</v>
      </c>
      <c r="I877" s="114">
        <v>40630</v>
      </c>
      <c r="J877" s="113"/>
    </row>
    <row r="878" spans="4:10" x14ac:dyDescent="0.3">
      <c r="E878">
        <v>2400</v>
      </c>
      <c r="F878">
        <v>2200</v>
      </c>
      <c r="G878">
        <v>440</v>
      </c>
      <c r="H878" s="114">
        <v>37390</v>
      </c>
      <c r="I878" s="114">
        <v>38870</v>
      </c>
      <c r="J878" s="113"/>
    </row>
    <row r="879" spans="4:10" x14ac:dyDescent="0.3">
      <c r="G879">
        <v>600</v>
      </c>
      <c r="H879" s="114">
        <v>40400</v>
      </c>
      <c r="I879" s="114">
        <v>42250</v>
      </c>
      <c r="J879" s="113"/>
    </row>
    <row r="880" spans="4:10" x14ac:dyDescent="0.3">
      <c r="F880">
        <v>2400</v>
      </c>
      <c r="G880">
        <v>440</v>
      </c>
      <c r="H880" s="114">
        <v>39890</v>
      </c>
      <c r="I880" s="114">
        <v>41400</v>
      </c>
      <c r="J880" s="113"/>
    </row>
    <row r="881" spans="4:10" x14ac:dyDescent="0.3">
      <c r="G881">
        <v>600</v>
      </c>
      <c r="H881" s="114">
        <v>44020</v>
      </c>
      <c r="I881" s="114">
        <v>46040</v>
      </c>
      <c r="J881" s="113"/>
    </row>
    <row r="882" spans="4:10" x14ac:dyDescent="0.3">
      <c r="D882" t="s">
        <v>256</v>
      </c>
      <c r="E882">
        <v>1800</v>
      </c>
      <c r="F882">
        <v>2200</v>
      </c>
      <c r="G882">
        <v>440</v>
      </c>
      <c r="H882" s="114">
        <v>27730</v>
      </c>
      <c r="I882" s="114">
        <v>29050</v>
      </c>
      <c r="J882" s="113"/>
    </row>
    <row r="883" spans="4:10" x14ac:dyDescent="0.3">
      <c r="G883">
        <v>600</v>
      </c>
      <c r="H883" s="114">
        <v>30600</v>
      </c>
      <c r="I883" s="114">
        <v>32250</v>
      </c>
      <c r="J883" s="113"/>
    </row>
    <row r="884" spans="4:10" x14ac:dyDescent="0.3">
      <c r="F884">
        <v>2400</v>
      </c>
      <c r="G884">
        <v>440</v>
      </c>
      <c r="H884" s="114">
        <v>29550</v>
      </c>
      <c r="I884" s="114">
        <v>30900</v>
      </c>
      <c r="J884" s="113"/>
    </row>
    <row r="885" spans="4:10" x14ac:dyDescent="0.3">
      <c r="G885">
        <v>600</v>
      </c>
      <c r="H885" s="114">
        <v>33320</v>
      </c>
      <c r="I885" s="114">
        <v>35110</v>
      </c>
      <c r="J885" s="113"/>
    </row>
    <row r="886" spans="4:10" x14ac:dyDescent="0.3">
      <c r="E886">
        <v>2100</v>
      </c>
      <c r="F886">
        <v>2200</v>
      </c>
      <c r="G886">
        <v>440</v>
      </c>
      <c r="H886" s="114">
        <v>32560</v>
      </c>
      <c r="I886" s="114">
        <v>33950</v>
      </c>
      <c r="J886" s="113"/>
    </row>
    <row r="887" spans="4:10" x14ac:dyDescent="0.3">
      <c r="G887">
        <v>600</v>
      </c>
      <c r="H887" s="114">
        <v>35430</v>
      </c>
      <c r="I887" s="114">
        <v>37160</v>
      </c>
      <c r="J887" s="113"/>
    </row>
    <row r="888" spans="4:10" x14ac:dyDescent="0.3">
      <c r="F888">
        <v>2400</v>
      </c>
      <c r="G888">
        <v>440</v>
      </c>
      <c r="H888" s="114">
        <v>34740</v>
      </c>
      <c r="I888" s="114">
        <v>36160</v>
      </c>
      <c r="J888" s="113"/>
    </row>
    <row r="889" spans="4:10" x14ac:dyDescent="0.3">
      <c r="G889">
        <v>600</v>
      </c>
      <c r="H889" s="114">
        <v>38730</v>
      </c>
      <c r="I889" s="114">
        <v>40630</v>
      </c>
      <c r="J889" s="113"/>
    </row>
    <row r="890" spans="4:10" x14ac:dyDescent="0.3">
      <c r="E890">
        <v>2400</v>
      </c>
      <c r="F890">
        <v>2200</v>
      </c>
      <c r="G890">
        <v>440</v>
      </c>
      <c r="H890" s="114">
        <v>37390</v>
      </c>
      <c r="I890" s="114">
        <v>38870</v>
      </c>
      <c r="J890" s="113"/>
    </row>
    <row r="891" spans="4:10" x14ac:dyDescent="0.3">
      <c r="G891">
        <v>600</v>
      </c>
      <c r="H891" s="114">
        <v>40400</v>
      </c>
      <c r="I891" s="114">
        <v>42250</v>
      </c>
      <c r="J891" s="113"/>
    </row>
    <row r="892" spans="4:10" x14ac:dyDescent="0.3">
      <c r="F892">
        <v>2400</v>
      </c>
      <c r="G892">
        <v>440</v>
      </c>
      <c r="H892" s="114">
        <v>39890</v>
      </c>
      <c r="I892" s="114">
        <v>41400</v>
      </c>
      <c r="J892" s="113"/>
    </row>
    <row r="893" spans="4:10" x14ac:dyDescent="0.3">
      <c r="G893">
        <v>600</v>
      </c>
      <c r="H893" s="114">
        <v>44020</v>
      </c>
      <c r="I893" s="114">
        <v>46040</v>
      </c>
      <c r="J893" s="113"/>
    </row>
    <row r="894" spans="4:10" x14ac:dyDescent="0.3">
      <c r="D894" t="s">
        <v>257</v>
      </c>
      <c r="E894">
        <v>1800</v>
      </c>
      <c r="F894">
        <v>2200</v>
      </c>
      <c r="G894">
        <v>440</v>
      </c>
      <c r="H894" s="114">
        <v>27730</v>
      </c>
      <c r="I894" s="114">
        <v>29050</v>
      </c>
      <c r="J894" s="113"/>
    </row>
    <row r="895" spans="4:10" x14ac:dyDescent="0.3">
      <c r="G895">
        <v>600</v>
      </c>
      <c r="H895" s="114">
        <v>30600</v>
      </c>
      <c r="I895" s="114">
        <v>32250</v>
      </c>
      <c r="J895" s="113"/>
    </row>
    <row r="896" spans="4:10" x14ac:dyDescent="0.3">
      <c r="F896">
        <v>2400</v>
      </c>
      <c r="G896">
        <v>440</v>
      </c>
      <c r="H896" s="114">
        <v>29550</v>
      </c>
      <c r="I896" s="114">
        <v>30900</v>
      </c>
      <c r="J896" s="113"/>
    </row>
    <row r="897" spans="4:10" x14ac:dyDescent="0.3">
      <c r="G897">
        <v>600</v>
      </c>
      <c r="H897" s="114">
        <v>33320</v>
      </c>
      <c r="I897" s="114">
        <v>35110</v>
      </c>
      <c r="J897" s="113"/>
    </row>
    <row r="898" spans="4:10" x14ac:dyDescent="0.3">
      <c r="E898">
        <v>2100</v>
      </c>
      <c r="F898">
        <v>2200</v>
      </c>
      <c r="G898">
        <v>440</v>
      </c>
      <c r="H898" s="114">
        <v>32560</v>
      </c>
      <c r="I898" s="114">
        <v>33950</v>
      </c>
      <c r="J898" s="113"/>
    </row>
    <row r="899" spans="4:10" x14ac:dyDescent="0.3">
      <c r="G899">
        <v>600</v>
      </c>
      <c r="H899" s="114">
        <v>35430</v>
      </c>
      <c r="I899" s="114">
        <v>37160</v>
      </c>
      <c r="J899" s="113"/>
    </row>
    <row r="900" spans="4:10" x14ac:dyDescent="0.3">
      <c r="F900">
        <v>2400</v>
      </c>
      <c r="G900">
        <v>440</v>
      </c>
      <c r="H900" s="114">
        <v>34740</v>
      </c>
      <c r="I900" s="114">
        <v>36160</v>
      </c>
      <c r="J900" s="113"/>
    </row>
    <row r="901" spans="4:10" x14ac:dyDescent="0.3">
      <c r="G901">
        <v>600</v>
      </c>
      <c r="H901" s="114">
        <v>38730</v>
      </c>
      <c r="I901" s="114">
        <v>40630</v>
      </c>
      <c r="J901" s="113"/>
    </row>
    <row r="902" spans="4:10" x14ac:dyDescent="0.3">
      <c r="E902">
        <v>2400</v>
      </c>
      <c r="F902">
        <v>2200</v>
      </c>
      <c r="G902">
        <v>440</v>
      </c>
      <c r="H902" s="114">
        <v>37390</v>
      </c>
      <c r="I902" s="114">
        <v>38870</v>
      </c>
      <c r="J902" s="113"/>
    </row>
    <row r="903" spans="4:10" x14ac:dyDescent="0.3">
      <c r="G903">
        <v>600</v>
      </c>
      <c r="H903" s="114">
        <v>40400</v>
      </c>
      <c r="I903" s="114">
        <v>42250</v>
      </c>
      <c r="J903" s="113"/>
    </row>
    <row r="904" spans="4:10" x14ac:dyDescent="0.3">
      <c r="F904">
        <v>2400</v>
      </c>
      <c r="G904">
        <v>440</v>
      </c>
      <c r="H904" s="114">
        <v>39890</v>
      </c>
      <c r="I904" s="114">
        <v>41400</v>
      </c>
      <c r="J904" s="113"/>
    </row>
    <row r="905" spans="4:10" x14ac:dyDescent="0.3">
      <c r="G905">
        <v>600</v>
      </c>
      <c r="H905" s="114">
        <v>44020</v>
      </c>
      <c r="I905" s="114">
        <v>46040</v>
      </c>
      <c r="J905" s="113"/>
    </row>
    <row r="906" spans="4:10" x14ac:dyDescent="0.3">
      <c r="D906" t="s">
        <v>258</v>
      </c>
      <c r="E906">
        <v>1800</v>
      </c>
      <c r="F906">
        <v>2200</v>
      </c>
      <c r="G906">
        <v>440</v>
      </c>
      <c r="H906" s="114">
        <v>27730</v>
      </c>
      <c r="I906" s="114">
        <v>29050</v>
      </c>
      <c r="J906" s="113"/>
    </row>
    <row r="907" spans="4:10" x14ac:dyDescent="0.3">
      <c r="G907">
        <v>600</v>
      </c>
      <c r="H907" s="114">
        <v>30600</v>
      </c>
      <c r="I907" s="114">
        <v>32250</v>
      </c>
      <c r="J907" s="113"/>
    </row>
    <row r="908" spans="4:10" x14ac:dyDescent="0.3">
      <c r="F908">
        <v>2400</v>
      </c>
      <c r="G908">
        <v>440</v>
      </c>
      <c r="H908" s="114">
        <v>29550</v>
      </c>
      <c r="I908" s="114">
        <v>30900</v>
      </c>
      <c r="J908" s="113"/>
    </row>
    <row r="909" spans="4:10" x14ac:dyDescent="0.3">
      <c r="G909">
        <v>600</v>
      </c>
      <c r="H909" s="114">
        <v>33320</v>
      </c>
      <c r="I909" s="114">
        <v>35110</v>
      </c>
      <c r="J909" s="113"/>
    </row>
    <row r="910" spans="4:10" x14ac:dyDescent="0.3">
      <c r="E910">
        <v>2100</v>
      </c>
      <c r="F910">
        <v>2200</v>
      </c>
      <c r="G910">
        <v>440</v>
      </c>
      <c r="H910" s="114">
        <v>32560</v>
      </c>
      <c r="I910" s="114">
        <v>33950</v>
      </c>
      <c r="J910" s="113"/>
    </row>
    <row r="911" spans="4:10" x14ac:dyDescent="0.3">
      <c r="G911">
        <v>600</v>
      </c>
      <c r="H911" s="114">
        <v>35430</v>
      </c>
      <c r="I911" s="114">
        <v>37160</v>
      </c>
      <c r="J911" s="113"/>
    </row>
    <row r="912" spans="4:10" x14ac:dyDescent="0.3">
      <c r="F912">
        <v>2400</v>
      </c>
      <c r="G912">
        <v>440</v>
      </c>
      <c r="H912" s="114">
        <v>34740</v>
      </c>
      <c r="I912" s="114">
        <v>36160</v>
      </c>
      <c r="J912" s="113"/>
    </row>
    <row r="913" spans="4:10" x14ac:dyDescent="0.3">
      <c r="G913">
        <v>600</v>
      </c>
      <c r="H913" s="114">
        <v>38730</v>
      </c>
      <c r="I913" s="114">
        <v>40630</v>
      </c>
      <c r="J913" s="113"/>
    </row>
    <row r="914" spans="4:10" x14ac:dyDescent="0.3">
      <c r="E914">
        <v>2400</v>
      </c>
      <c r="F914">
        <v>2200</v>
      </c>
      <c r="G914">
        <v>440</v>
      </c>
      <c r="H914" s="114">
        <v>37390</v>
      </c>
      <c r="I914" s="114">
        <v>38870</v>
      </c>
      <c r="J914" s="113"/>
    </row>
    <row r="915" spans="4:10" x14ac:dyDescent="0.3">
      <c r="G915">
        <v>600</v>
      </c>
      <c r="H915" s="114">
        <v>40400</v>
      </c>
      <c r="I915" s="114">
        <v>42250</v>
      </c>
      <c r="J915" s="113"/>
    </row>
    <row r="916" spans="4:10" x14ac:dyDescent="0.3">
      <c r="F916">
        <v>2400</v>
      </c>
      <c r="G916">
        <v>440</v>
      </c>
      <c r="H916" s="114">
        <v>39890</v>
      </c>
      <c r="I916" s="114">
        <v>41400</v>
      </c>
      <c r="J916" s="113"/>
    </row>
    <row r="917" spans="4:10" x14ac:dyDescent="0.3">
      <c r="G917">
        <v>600</v>
      </c>
      <c r="H917" s="114">
        <v>44020</v>
      </c>
      <c r="I917" s="114">
        <v>46040</v>
      </c>
      <c r="J917" s="113"/>
    </row>
    <row r="918" spans="4:10" x14ac:dyDescent="0.3">
      <c r="D918" t="s">
        <v>259</v>
      </c>
      <c r="E918">
        <v>1800</v>
      </c>
      <c r="F918">
        <v>2200</v>
      </c>
      <c r="G918">
        <v>440</v>
      </c>
      <c r="H918" s="114">
        <v>27730</v>
      </c>
      <c r="I918" s="114">
        <v>29050</v>
      </c>
      <c r="J918" s="113"/>
    </row>
    <row r="919" spans="4:10" x14ac:dyDescent="0.3">
      <c r="G919">
        <v>600</v>
      </c>
      <c r="H919" s="114">
        <v>30600</v>
      </c>
      <c r="I919" s="114">
        <v>32250</v>
      </c>
      <c r="J919" s="113"/>
    </row>
    <row r="920" spans="4:10" x14ac:dyDescent="0.3">
      <c r="F920">
        <v>2400</v>
      </c>
      <c r="G920">
        <v>440</v>
      </c>
      <c r="H920" s="114">
        <v>29550</v>
      </c>
      <c r="I920" s="114">
        <v>30900</v>
      </c>
      <c r="J920" s="113"/>
    </row>
    <row r="921" spans="4:10" x14ac:dyDescent="0.3">
      <c r="G921">
        <v>600</v>
      </c>
      <c r="H921" s="114">
        <v>33320</v>
      </c>
      <c r="I921" s="114">
        <v>35110</v>
      </c>
      <c r="J921" s="113"/>
    </row>
    <row r="922" spans="4:10" x14ac:dyDescent="0.3">
      <c r="E922">
        <v>2100</v>
      </c>
      <c r="F922">
        <v>2200</v>
      </c>
      <c r="G922">
        <v>440</v>
      </c>
      <c r="H922" s="114">
        <v>32560</v>
      </c>
      <c r="I922" s="114">
        <v>33950</v>
      </c>
      <c r="J922" s="113"/>
    </row>
    <row r="923" spans="4:10" x14ac:dyDescent="0.3">
      <c r="G923">
        <v>600</v>
      </c>
      <c r="H923" s="114">
        <v>35430</v>
      </c>
      <c r="I923" s="114">
        <v>37160</v>
      </c>
      <c r="J923" s="113"/>
    </row>
    <row r="924" spans="4:10" x14ac:dyDescent="0.3">
      <c r="F924">
        <v>2400</v>
      </c>
      <c r="G924">
        <v>440</v>
      </c>
      <c r="H924" s="114">
        <v>34740</v>
      </c>
      <c r="I924" s="114">
        <v>36160</v>
      </c>
      <c r="J924" s="113"/>
    </row>
    <row r="925" spans="4:10" x14ac:dyDescent="0.3">
      <c r="G925">
        <v>600</v>
      </c>
      <c r="H925" s="114">
        <v>38730</v>
      </c>
      <c r="I925" s="114">
        <v>40630</v>
      </c>
      <c r="J925" s="113"/>
    </row>
    <row r="926" spans="4:10" x14ac:dyDescent="0.3">
      <c r="E926">
        <v>2400</v>
      </c>
      <c r="F926">
        <v>2200</v>
      </c>
      <c r="G926">
        <v>440</v>
      </c>
      <c r="H926" s="114">
        <v>37390</v>
      </c>
      <c r="I926" s="114">
        <v>38870</v>
      </c>
      <c r="J926" s="113"/>
    </row>
    <row r="927" spans="4:10" x14ac:dyDescent="0.3">
      <c r="G927">
        <v>600</v>
      </c>
      <c r="H927" s="114">
        <v>40400</v>
      </c>
      <c r="I927" s="114">
        <v>42250</v>
      </c>
      <c r="J927" s="113"/>
    </row>
    <row r="928" spans="4:10" x14ac:dyDescent="0.3">
      <c r="F928">
        <v>2400</v>
      </c>
      <c r="G928">
        <v>440</v>
      </c>
      <c r="H928" s="114">
        <v>39890</v>
      </c>
      <c r="I928" s="114">
        <v>41400</v>
      </c>
      <c r="J928" s="113"/>
    </row>
    <row r="929" spans="4:10" x14ac:dyDescent="0.3">
      <c r="G929">
        <v>600</v>
      </c>
      <c r="H929" s="114">
        <v>44020</v>
      </c>
      <c r="I929" s="114">
        <v>46040</v>
      </c>
      <c r="J929" s="113"/>
    </row>
    <row r="930" spans="4:10" x14ac:dyDescent="0.3">
      <c r="D930" t="s">
        <v>260</v>
      </c>
      <c r="E930">
        <v>1800</v>
      </c>
      <c r="F930">
        <v>2200</v>
      </c>
      <c r="G930">
        <v>440</v>
      </c>
      <c r="H930" s="114">
        <v>27730</v>
      </c>
      <c r="I930" s="114">
        <v>29050</v>
      </c>
      <c r="J930" s="113"/>
    </row>
    <row r="931" spans="4:10" x14ac:dyDescent="0.3">
      <c r="G931">
        <v>600</v>
      </c>
      <c r="H931" s="114">
        <v>30600</v>
      </c>
      <c r="I931" s="114">
        <v>32250</v>
      </c>
      <c r="J931" s="113"/>
    </row>
    <row r="932" spans="4:10" x14ac:dyDescent="0.3">
      <c r="F932">
        <v>2400</v>
      </c>
      <c r="G932">
        <v>440</v>
      </c>
      <c r="H932" s="114">
        <v>29550</v>
      </c>
      <c r="I932" s="114">
        <v>30900</v>
      </c>
      <c r="J932" s="113"/>
    </row>
    <row r="933" spans="4:10" x14ac:dyDescent="0.3">
      <c r="G933">
        <v>600</v>
      </c>
      <c r="H933" s="114">
        <v>33320</v>
      </c>
      <c r="I933" s="114">
        <v>35110</v>
      </c>
      <c r="J933" s="113"/>
    </row>
    <row r="934" spans="4:10" x14ac:dyDescent="0.3">
      <c r="E934">
        <v>2100</v>
      </c>
      <c r="F934">
        <v>2200</v>
      </c>
      <c r="G934">
        <v>440</v>
      </c>
      <c r="H934" s="114">
        <v>32560</v>
      </c>
      <c r="I934" s="114">
        <v>33950</v>
      </c>
      <c r="J934" s="113"/>
    </row>
    <row r="935" spans="4:10" x14ac:dyDescent="0.3">
      <c r="G935">
        <v>600</v>
      </c>
      <c r="H935" s="114">
        <v>35430</v>
      </c>
      <c r="I935" s="114">
        <v>37160</v>
      </c>
      <c r="J935" s="113"/>
    </row>
    <row r="936" spans="4:10" x14ac:dyDescent="0.3">
      <c r="F936">
        <v>2400</v>
      </c>
      <c r="G936">
        <v>440</v>
      </c>
      <c r="H936" s="114">
        <v>34740</v>
      </c>
      <c r="I936" s="114">
        <v>36160</v>
      </c>
      <c r="J936" s="113"/>
    </row>
    <row r="937" spans="4:10" x14ac:dyDescent="0.3">
      <c r="G937">
        <v>600</v>
      </c>
      <c r="H937" s="114">
        <v>38730</v>
      </c>
      <c r="I937" s="114">
        <v>40630</v>
      </c>
      <c r="J937" s="113"/>
    </row>
    <row r="938" spans="4:10" x14ac:dyDescent="0.3">
      <c r="E938">
        <v>2400</v>
      </c>
      <c r="F938">
        <v>2200</v>
      </c>
      <c r="G938">
        <v>440</v>
      </c>
      <c r="H938" s="114">
        <v>37390</v>
      </c>
      <c r="I938" s="114">
        <v>38870</v>
      </c>
      <c r="J938" s="113"/>
    </row>
    <row r="939" spans="4:10" x14ac:dyDescent="0.3">
      <c r="G939">
        <v>600</v>
      </c>
      <c r="H939" s="114">
        <v>40400</v>
      </c>
      <c r="I939" s="114">
        <v>42250</v>
      </c>
      <c r="J939" s="113"/>
    </row>
    <row r="940" spans="4:10" x14ac:dyDescent="0.3">
      <c r="F940">
        <v>2400</v>
      </c>
      <c r="G940">
        <v>440</v>
      </c>
      <c r="H940" s="114">
        <v>39890</v>
      </c>
      <c r="I940" s="114">
        <v>41400</v>
      </c>
      <c r="J940" s="113"/>
    </row>
    <row r="941" spans="4:10" x14ac:dyDescent="0.3">
      <c r="G941">
        <v>600</v>
      </c>
      <c r="H941" s="114">
        <v>44020</v>
      </c>
      <c r="I941" s="114">
        <v>46040</v>
      </c>
      <c r="J941" s="113"/>
    </row>
    <row r="942" spans="4:10" x14ac:dyDescent="0.3">
      <c r="D942" t="s">
        <v>261</v>
      </c>
      <c r="E942">
        <v>1800</v>
      </c>
      <c r="F942">
        <v>2200</v>
      </c>
      <c r="G942">
        <v>440</v>
      </c>
      <c r="H942" s="114">
        <v>27730</v>
      </c>
      <c r="I942" s="114">
        <v>29050</v>
      </c>
      <c r="J942" s="113"/>
    </row>
    <row r="943" spans="4:10" x14ac:dyDescent="0.3">
      <c r="G943">
        <v>600</v>
      </c>
      <c r="H943" s="114">
        <v>30600</v>
      </c>
      <c r="I943" s="114">
        <v>32250</v>
      </c>
      <c r="J943" s="113"/>
    </row>
    <row r="944" spans="4:10" x14ac:dyDescent="0.3">
      <c r="F944">
        <v>2400</v>
      </c>
      <c r="G944">
        <v>440</v>
      </c>
      <c r="H944" s="114">
        <v>29550</v>
      </c>
      <c r="I944" s="114">
        <v>30900</v>
      </c>
      <c r="J944" s="113"/>
    </row>
    <row r="945" spans="4:10" x14ac:dyDescent="0.3">
      <c r="G945">
        <v>600</v>
      </c>
      <c r="H945" s="114">
        <v>33320</v>
      </c>
      <c r="I945" s="114">
        <v>35110</v>
      </c>
      <c r="J945" s="113"/>
    </row>
    <row r="946" spans="4:10" x14ac:dyDescent="0.3">
      <c r="E946">
        <v>2100</v>
      </c>
      <c r="F946">
        <v>2200</v>
      </c>
      <c r="G946">
        <v>440</v>
      </c>
      <c r="H946" s="114">
        <v>32560</v>
      </c>
      <c r="I946" s="114">
        <v>33950</v>
      </c>
      <c r="J946" s="113"/>
    </row>
    <row r="947" spans="4:10" x14ac:dyDescent="0.3">
      <c r="G947">
        <v>600</v>
      </c>
      <c r="H947" s="114">
        <v>35430</v>
      </c>
      <c r="I947" s="114">
        <v>37160</v>
      </c>
      <c r="J947" s="113"/>
    </row>
    <row r="948" spans="4:10" x14ac:dyDescent="0.3">
      <c r="F948">
        <v>2400</v>
      </c>
      <c r="G948">
        <v>440</v>
      </c>
      <c r="H948" s="114">
        <v>34740</v>
      </c>
      <c r="I948" s="114">
        <v>36160</v>
      </c>
      <c r="J948" s="113"/>
    </row>
    <row r="949" spans="4:10" x14ac:dyDescent="0.3">
      <c r="G949">
        <v>600</v>
      </c>
      <c r="H949" s="114">
        <v>38730</v>
      </c>
      <c r="I949" s="114">
        <v>40630</v>
      </c>
      <c r="J949" s="113"/>
    </row>
    <row r="950" spans="4:10" x14ac:dyDescent="0.3">
      <c r="E950">
        <v>2400</v>
      </c>
      <c r="F950">
        <v>2200</v>
      </c>
      <c r="G950">
        <v>440</v>
      </c>
      <c r="H950" s="114">
        <v>37390</v>
      </c>
      <c r="I950" s="114">
        <v>38870</v>
      </c>
      <c r="J950" s="113"/>
    </row>
    <row r="951" spans="4:10" x14ac:dyDescent="0.3">
      <c r="G951">
        <v>600</v>
      </c>
      <c r="H951" s="114">
        <v>40400</v>
      </c>
      <c r="I951" s="114">
        <v>42250</v>
      </c>
      <c r="J951" s="113"/>
    </row>
    <row r="952" spans="4:10" x14ac:dyDescent="0.3">
      <c r="F952">
        <v>2400</v>
      </c>
      <c r="G952">
        <v>440</v>
      </c>
      <c r="H952" s="114">
        <v>39890</v>
      </c>
      <c r="I952" s="114">
        <v>41400</v>
      </c>
      <c r="J952" s="113"/>
    </row>
    <row r="953" spans="4:10" x14ac:dyDescent="0.3">
      <c r="G953">
        <v>600</v>
      </c>
      <c r="H953" s="114">
        <v>44020</v>
      </c>
      <c r="I953" s="114">
        <v>46040</v>
      </c>
      <c r="J953" s="113"/>
    </row>
    <row r="954" spans="4:10" x14ac:dyDescent="0.3">
      <c r="D954" t="s">
        <v>262</v>
      </c>
      <c r="E954">
        <v>1800</v>
      </c>
      <c r="F954">
        <v>2200</v>
      </c>
      <c r="G954">
        <v>440</v>
      </c>
      <c r="H954" s="114">
        <v>10840</v>
      </c>
      <c r="I954" s="114">
        <v>12160</v>
      </c>
      <c r="J954" s="113"/>
    </row>
    <row r="955" spans="4:10" x14ac:dyDescent="0.3">
      <c r="G955">
        <v>600</v>
      </c>
      <c r="H955" s="114">
        <v>13710</v>
      </c>
      <c r="I955" s="114">
        <v>15360</v>
      </c>
      <c r="J955" s="113"/>
    </row>
    <row r="956" spans="4:10" x14ac:dyDescent="0.3">
      <c r="F956">
        <v>2400</v>
      </c>
      <c r="G956">
        <v>440</v>
      </c>
      <c r="H956" s="114">
        <v>11150</v>
      </c>
      <c r="I956" s="114">
        <v>12500</v>
      </c>
      <c r="J956" s="113"/>
    </row>
    <row r="957" spans="4:10" x14ac:dyDescent="0.3">
      <c r="G957">
        <v>600</v>
      </c>
      <c r="H957" s="114">
        <v>14920</v>
      </c>
      <c r="I957" s="114">
        <v>16710</v>
      </c>
      <c r="J957" s="113"/>
    </row>
    <row r="958" spans="4:10" x14ac:dyDescent="0.3">
      <c r="E958">
        <v>2100</v>
      </c>
      <c r="F958">
        <v>2200</v>
      </c>
      <c r="G958">
        <v>440</v>
      </c>
      <c r="H958" s="114">
        <v>11590</v>
      </c>
      <c r="I958" s="114">
        <v>12980</v>
      </c>
      <c r="J958" s="113"/>
    </row>
    <row r="959" spans="4:10" x14ac:dyDescent="0.3">
      <c r="G959">
        <v>600</v>
      </c>
      <c r="H959" s="114">
        <v>14460</v>
      </c>
      <c r="I959" s="114">
        <v>16190</v>
      </c>
      <c r="J959" s="113"/>
    </row>
    <row r="960" spans="4:10" x14ac:dyDescent="0.3">
      <c r="F960">
        <v>2400</v>
      </c>
      <c r="G960">
        <v>440</v>
      </c>
      <c r="H960" s="114">
        <v>11830</v>
      </c>
      <c r="I960" s="114">
        <v>13250</v>
      </c>
      <c r="J960" s="113"/>
    </row>
    <row r="961" spans="4:10" x14ac:dyDescent="0.3">
      <c r="G961">
        <v>600</v>
      </c>
      <c r="H961" s="114">
        <v>15820</v>
      </c>
      <c r="I961" s="114">
        <v>17720</v>
      </c>
      <c r="J961" s="113"/>
    </row>
    <row r="962" spans="4:10" x14ac:dyDescent="0.3">
      <c r="E962">
        <v>2400</v>
      </c>
      <c r="F962">
        <v>2200</v>
      </c>
      <c r="G962">
        <v>440</v>
      </c>
      <c r="H962" s="114">
        <v>12360</v>
      </c>
      <c r="I962" s="114">
        <v>13840</v>
      </c>
      <c r="J962" s="113"/>
    </row>
    <row r="963" spans="4:10" x14ac:dyDescent="0.3">
      <c r="G963">
        <v>600</v>
      </c>
      <c r="H963" s="114">
        <v>15370</v>
      </c>
      <c r="I963" s="114">
        <v>17220</v>
      </c>
      <c r="J963" s="113"/>
    </row>
    <row r="964" spans="4:10" x14ac:dyDescent="0.3">
      <c r="F964">
        <v>2400</v>
      </c>
      <c r="G964">
        <v>440</v>
      </c>
      <c r="H964" s="114">
        <v>12590</v>
      </c>
      <c r="I964" s="114">
        <v>14100</v>
      </c>
      <c r="J964" s="113"/>
    </row>
    <row r="965" spans="4:10" x14ac:dyDescent="0.3">
      <c r="G965">
        <v>600</v>
      </c>
      <c r="H965" s="114">
        <v>16720</v>
      </c>
      <c r="I965" s="114">
        <v>18740</v>
      </c>
      <c r="J965" s="113"/>
    </row>
    <row r="966" spans="4:10" x14ac:dyDescent="0.3">
      <c r="D966" t="s">
        <v>263</v>
      </c>
      <c r="E966">
        <v>1800</v>
      </c>
      <c r="F966">
        <v>2200</v>
      </c>
      <c r="G966">
        <v>440</v>
      </c>
      <c r="H966" s="114">
        <v>27730</v>
      </c>
      <c r="I966" s="114">
        <v>29050</v>
      </c>
      <c r="J966" s="113"/>
    </row>
    <row r="967" spans="4:10" x14ac:dyDescent="0.3">
      <c r="G967">
        <v>600</v>
      </c>
      <c r="H967" s="114">
        <v>30600</v>
      </c>
      <c r="I967" s="114">
        <v>32250</v>
      </c>
      <c r="J967" s="113"/>
    </row>
    <row r="968" spans="4:10" x14ac:dyDescent="0.3">
      <c r="F968">
        <v>2400</v>
      </c>
      <c r="G968">
        <v>440</v>
      </c>
      <c r="H968" s="114">
        <v>29550</v>
      </c>
      <c r="I968" s="114">
        <v>30900</v>
      </c>
      <c r="J968" s="113"/>
    </row>
    <row r="969" spans="4:10" x14ac:dyDescent="0.3">
      <c r="G969">
        <v>600</v>
      </c>
      <c r="H969" s="114">
        <v>33320</v>
      </c>
      <c r="I969" s="114">
        <v>35110</v>
      </c>
      <c r="J969" s="113"/>
    </row>
    <row r="970" spans="4:10" x14ac:dyDescent="0.3">
      <c r="E970">
        <v>2100</v>
      </c>
      <c r="F970">
        <v>2200</v>
      </c>
      <c r="G970">
        <v>440</v>
      </c>
      <c r="H970" s="114">
        <v>32560</v>
      </c>
      <c r="I970" s="114">
        <v>33950</v>
      </c>
      <c r="J970" s="113"/>
    </row>
    <row r="971" spans="4:10" x14ac:dyDescent="0.3">
      <c r="G971">
        <v>600</v>
      </c>
      <c r="H971" s="114">
        <v>35430</v>
      </c>
      <c r="I971" s="114">
        <v>37160</v>
      </c>
      <c r="J971" s="113"/>
    </row>
    <row r="972" spans="4:10" x14ac:dyDescent="0.3">
      <c r="F972">
        <v>2400</v>
      </c>
      <c r="G972">
        <v>440</v>
      </c>
      <c r="H972" s="114">
        <v>34740</v>
      </c>
      <c r="I972" s="114">
        <v>36160</v>
      </c>
      <c r="J972" s="113"/>
    </row>
    <row r="973" spans="4:10" x14ac:dyDescent="0.3">
      <c r="G973">
        <v>600</v>
      </c>
      <c r="H973" s="114">
        <v>38730</v>
      </c>
      <c r="I973" s="114">
        <v>40630</v>
      </c>
      <c r="J973" s="113"/>
    </row>
    <row r="974" spans="4:10" x14ac:dyDescent="0.3">
      <c r="E974">
        <v>2400</v>
      </c>
      <c r="F974">
        <v>2200</v>
      </c>
      <c r="G974">
        <v>440</v>
      </c>
      <c r="H974" s="114">
        <v>37390</v>
      </c>
      <c r="I974" s="114">
        <v>38870</v>
      </c>
      <c r="J974" s="113"/>
    </row>
    <row r="975" spans="4:10" x14ac:dyDescent="0.3">
      <c r="G975">
        <v>600</v>
      </c>
      <c r="H975" s="114">
        <v>40400</v>
      </c>
      <c r="I975" s="114">
        <v>42250</v>
      </c>
      <c r="J975" s="113"/>
    </row>
    <row r="976" spans="4:10" x14ac:dyDescent="0.3">
      <c r="F976">
        <v>2400</v>
      </c>
      <c r="G976">
        <v>440</v>
      </c>
      <c r="H976" s="114">
        <v>39890</v>
      </c>
      <c r="I976" s="114">
        <v>41400</v>
      </c>
      <c r="J976" s="113"/>
    </row>
    <row r="977" spans="4:10" x14ac:dyDescent="0.3">
      <c r="G977">
        <v>600</v>
      </c>
      <c r="H977" s="114">
        <v>44020</v>
      </c>
      <c r="I977" s="114">
        <v>46040</v>
      </c>
      <c r="J977" s="113"/>
    </row>
    <row r="978" spans="4:10" x14ac:dyDescent="0.3">
      <c r="D978" t="s">
        <v>264</v>
      </c>
      <c r="E978">
        <v>1800</v>
      </c>
      <c r="F978">
        <v>2200</v>
      </c>
      <c r="G978">
        <v>440</v>
      </c>
      <c r="H978" s="114">
        <v>27730</v>
      </c>
      <c r="I978" s="114">
        <v>29050</v>
      </c>
      <c r="J978" s="113"/>
    </row>
    <row r="979" spans="4:10" x14ac:dyDescent="0.3">
      <c r="G979">
        <v>600</v>
      </c>
      <c r="H979" s="114">
        <v>30600</v>
      </c>
      <c r="I979" s="114">
        <v>32250</v>
      </c>
      <c r="J979" s="113"/>
    </row>
    <row r="980" spans="4:10" x14ac:dyDescent="0.3">
      <c r="F980">
        <v>2400</v>
      </c>
      <c r="G980">
        <v>440</v>
      </c>
      <c r="H980" s="114">
        <v>29550</v>
      </c>
      <c r="I980" s="114">
        <v>30900</v>
      </c>
      <c r="J980" s="113"/>
    </row>
    <row r="981" spans="4:10" x14ac:dyDescent="0.3">
      <c r="G981">
        <v>600</v>
      </c>
      <c r="H981" s="114">
        <v>33320</v>
      </c>
      <c r="I981" s="114">
        <v>35110</v>
      </c>
      <c r="J981" s="113"/>
    </row>
    <row r="982" spans="4:10" x14ac:dyDescent="0.3">
      <c r="E982">
        <v>2100</v>
      </c>
      <c r="F982">
        <v>2200</v>
      </c>
      <c r="G982">
        <v>440</v>
      </c>
      <c r="H982" s="114">
        <v>32560</v>
      </c>
      <c r="I982" s="114">
        <v>33950</v>
      </c>
      <c r="J982" s="113"/>
    </row>
    <row r="983" spans="4:10" x14ac:dyDescent="0.3">
      <c r="G983">
        <v>600</v>
      </c>
      <c r="H983" s="114">
        <v>35430</v>
      </c>
      <c r="I983" s="114">
        <v>37160</v>
      </c>
      <c r="J983" s="113"/>
    </row>
    <row r="984" spans="4:10" x14ac:dyDescent="0.3">
      <c r="F984">
        <v>2400</v>
      </c>
      <c r="G984">
        <v>440</v>
      </c>
      <c r="H984" s="114">
        <v>34740</v>
      </c>
      <c r="I984" s="114">
        <v>36160</v>
      </c>
      <c r="J984" s="113"/>
    </row>
    <row r="985" spans="4:10" x14ac:dyDescent="0.3">
      <c r="G985">
        <v>600</v>
      </c>
      <c r="H985" s="114">
        <v>38730</v>
      </c>
      <c r="I985" s="114">
        <v>40630</v>
      </c>
      <c r="J985" s="113"/>
    </row>
    <row r="986" spans="4:10" x14ac:dyDescent="0.3">
      <c r="E986">
        <v>2400</v>
      </c>
      <c r="F986">
        <v>2200</v>
      </c>
      <c r="G986">
        <v>440</v>
      </c>
      <c r="H986" s="114">
        <v>37390</v>
      </c>
      <c r="I986" s="114">
        <v>38870</v>
      </c>
      <c r="J986" s="113"/>
    </row>
    <row r="987" spans="4:10" x14ac:dyDescent="0.3">
      <c r="G987">
        <v>600</v>
      </c>
      <c r="H987" s="114">
        <v>40400</v>
      </c>
      <c r="I987" s="114">
        <v>42250</v>
      </c>
      <c r="J987" s="113"/>
    </row>
    <row r="988" spans="4:10" x14ac:dyDescent="0.3">
      <c r="F988">
        <v>2400</v>
      </c>
      <c r="G988">
        <v>440</v>
      </c>
      <c r="H988" s="114">
        <v>39890</v>
      </c>
      <c r="I988" s="114">
        <v>41400</v>
      </c>
      <c r="J988" s="113"/>
    </row>
    <row r="989" spans="4:10" x14ac:dyDescent="0.3">
      <c r="G989">
        <v>600</v>
      </c>
      <c r="H989" s="114">
        <v>44020</v>
      </c>
      <c r="I989" s="114">
        <v>46040</v>
      </c>
      <c r="J989" s="113"/>
    </row>
    <row r="990" spans="4:10" x14ac:dyDescent="0.3">
      <c r="D990" t="s">
        <v>265</v>
      </c>
      <c r="E990">
        <v>1800</v>
      </c>
      <c r="F990">
        <v>2200</v>
      </c>
      <c r="G990">
        <v>440</v>
      </c>
      <c r="H990" s="114">
        <v>27730</v>
      </c>
      <c r="I990" s="114">
        <v>29050</v>
      </c>
      <c r="J990" s="113"/>
    </row>
    <row r="991" spans="4:10" x14ac:dyDescent="0.3">
      <c r="G991">
        <v>600</v>
      </c>
      <c r="H991" s="114">
        <v>30600</v>
      </c>
      <c r="I991" s="114">
        <v>32250</v>
      </c>
      <c r="J991" s="113"/>
    </row>
    <row r="992" spans="4:10" x14ac:dyDescent="0.3">
      <c r="F992">
        <v>2400</v>
      </c>
      <c r="G992">
        <v>440</v>
      </c>
      <c r="H992" s="114">
        <v>29550</v>
      </c>
      <c r="I992" s="114">
        <v>30900</v>
      </c>
      <c r="J992" s="113"/>
    </row>
    <row r="993" spans="4:10" x14ac:dyDescent="0.3">
      <c r="G993">
        <v>600</v>
      </c>
      <c r="H993" s="114">
        <v>33320</v>
      </c>
      <c r="I993" s="114">
        <v>35110</v>
      </c>
      <c r="J993" s="113"/>
    </row>
    <row r="994" spans="4:10" x14ac:dyDescent="0.3">
      <c r="E994">
        <v>2100</v>
      </c>
      <c r="F994">
        <v>2200</v>
      </c>
      <c r="G994">
        <v>440</v>
      </c>
      <c r="H994" s="114">
        <v>32560</v>
      </c>
      <c r="I994" s="114">
        <v>33950</v>
      </c>
      <c r="J994" s="113"/>
    </row>
    <row r="995" spans="4:10" x14ac:dyDescent="0.3">
      <c r="G995">
        <v>600</v>
      </c>
      <c r="H995" s="114">
        <v>35430</v>
      </c>
      <c r="I995" s="114">
        <v>37160</v>
      </c>
      <c r="J995" s="113"/>
    </row>
    <row r="996" spans="4:10" x14ac:dyDescent="0.3">
      <c r="F996">
        <v>2400</v>
      </c>
      <c r="G996">
        <v>440</v>
      </c>
      <c r="H996" s="114">
        <v>34740</v>
      </c>
      <c r="I996" s="114">
        <v>36160</v>
      </c>
      <c r="J996" s="113"/>
    </row>
    <row r="997" spans="4:10" x14ac:dyDescent="0.3">
      <c r="G997">
        <v>600</v>
      </c>
      <c r="H997" s="114">
        <v>38730</v>
      </c>
      <c r="I997" s="114">
        <v>40630</v>
      </c>
      <c r="J997" s="113"/>
    </row>
    <row r="998" spans="4:10" x14ac:dyDescent="0.3">
      <c r="E998">
        <v>2400</v>
      </c>
      <c r="F998">
        <v>2200</v>
      </c>
      <c r="G998">
        <v>440</v>
      </c>
      <c r="H998" s="114">
        <v>37390</v>
      </c>
      <c r="I998" s="114">
        <v>38870</v>
      </c>
      <c r="J998" s="113"/>
    </row>
    <row r="999" spans="4:10" x14ac:dyDescent="0.3">
      <c r="G999">
        <v>600</v>
      </c>
      <c r="H999" s="114">
        <v>40400</v>
      </c>
      <c r="I999" s="114">
        <v>42250</v>
      </c>
      <c r="J999" s="113"/>
    </row>
    <row r="1000" spans="4:10" x14ac:dyDescent="0.3">
      <c r="F1000">
        <v>2400</v>
      </c>
      <c r="G1000">
        <v>440</v>
      </c>
      <c r="H1000" s="114">
        <v>39890</v>
      </c>
      <c r="I1000" s="114">
        <v>41400</v>
      </c>
      <c r="J1000" s="113"/>
    </row>
    <row r="1001" spans="4:10" x14ac:dyDescent="0.3">
      <c r="G1001">
        <v>600</v>
      </c>
      <c r="H1001" s="114">
        <v>44020</v>
      </c>
      <c r="I1001" s="114">
        <v>46040</v>
      </c>
      <c r="J1001" s="113"/>
    </row>
    <row r="1002" spans="4:10" x14ac:dyDescent="0.3">
      <c r="D1002" t="s">
        <v>266</v>
      </c>
      <c r="E1002">
        <v>1800</v>
      </c>
      <c r="F1002">
        <v>2200</v>
      </c>
      <c r="G1002">
        <v>440</v>
      </c>
      <c r="H1002" s="114">
        <v>27730</v>
      </c>
      <c r="I1002" s="114">
        <v>29050</v>
      </c>
      <c r="J1002" s="113"/>
    </row>
    <row r="1003" spans="4:10" x14ac:dyDescent="0.3">
      <c r="G1003">
        <v>600</v>
      </c>
      <c r="H1003" s="114">
        <v>30600</v>
      </c>
      <c r="I1003" s="114">
        <v>32250</v>
      </c>
      <c r="J1003" s="113"/>
    </row>
    <row r="1004" spans="4:10" x14ac:dyDescent="0.3">
      <c r="F1004">
        <v>2400</v>
      </c>
      <c r="G1004">
        <v>440</v>
      </c>
      <c r="H1004" s="114">
        <v>29550</v>
      </c>
      <c r="I1004" s="114">
        <v>30900</v>
      </c>
      <c r="J1004" s="113"/>
    </row>
    <row r="1005" spans="4:10" x14ac:dyDescent="0.3">
      <c r="G1005">
        <v>600</v>
      </c>
      <c r="H1005" s="114">
        <v>33320</v>
      </c>
      <c r="I1005" s="114">
        <v>35110</v>
      </c>
      <c r="J1005" s="113"/>
    </row>
    <row r="1006" spans="4:10" x14ac:dyDescent="0.3">
      <c r="E1006">
        <v>2100</v>
      </c>
      <c r="F1006">
        <v>2200</v>
      </c>
      <c r="G1006">
        <v>440</v>
      </c>
      <c r="H1006" s="114">
        <v>32560</v>
      </c>
      <c r="I1006" s="114">
        <v>33950</v>
      </c>
      <c r="J1006" s="113"/>
    </row>
    <row r="1007" spans="4:10" x14ac:dyDescent="0.3">
      <c r="G1007">
        <v>600</v>
      </c>
      <c r="H1007" s="114">
        <v>35430</v>
      </c>
      <c r="I1007" s="114">
        <v>37160</v>
      </c>
      <c r="J1007" s="113"/>
    </row>
    <row r="1008" spans="4:10" x14ac:dyDescent="0.3">
      <c r="F1008">
        <v>2400</v>
      </c>
      <c r="G1008">
        <v>440</v>
      </c>
      <c r="H1008" s="114">
        <v>34740</v>
      </c>
      <c r="I1008" s="114">
        <v>36160</v>
      </c>
      <c r="J1008" s="113"/>
    </row>
    <row r="1009" spans="4:10" x14ac:dyDescent="0.3">
      <c r="G1009">
        <v>600</v>
      </c>
      <c r="H1009" s="114">
        <v>38730</v>
      </c>
      <c r="I1009" s="114">
        <v>40630</v>
      </c>
      <c r="J1009" s="113"/>
    </row>
    <row r="1010" spans="4:10" x14ac:dyDescent="0.3">
      <c r="E1010">
        <v>2400</v>
      </c>
      <c r="F1010">
        <v>2200</v>
      </c>
      <c r="G1010">
        <v>440</v>
      </c>
      <c r="H1010" s="114">
        <v>37390</v>
      </c>
      <c r="I1010" s="114">
        <v>38870</v>
      </c>
      <c r="J1010" s="113"/>
    </row>
    <row r="1011" spans="4:10" x14ac:dyDescent="0.3">
      <c r="G1011">
        <v>600</v>
      </c>
      <c r="H1011" s="114">
        <v>40400</v>
      </c>
      <c r="I1011" s="114">
        <v>42250</v>
      </c>
      <c r="J1011" s="113"/>
    </row>
    <row r="1012" spans="4:10" x14ac:dyDescent="0.3">
      <c r="F1012">
        <v>2400</v>
      </c>
      <c r="G1012">
        <v>440</v>
      </c>
      <c r="H1012" s="114">
        <v>39890</v>
      </c>
      <c r="I1012" s="114">
        <v>41400</v>
      </c>
      <c r="J1012" s="113"/>
    </row>
    <row r="1013" spans="4:10" x14ac:dyDescent="0.3">
      <c r="G1013">
        <v>600</v>
      </c>
      <c r="H1013" s="114">
        <v>44020</v>
      </c>
      <c r="I1013" s="114">
        <v>46040</v>
      </c>
      <c r="J1013" s="113"/>
    </row>
    <row r="1014" spans="4:10" x14ac:dyDescent="0.3">
      <c r="D1014" t="s">
        <v>267</v>
      </c>
      <c r="E1014">
        <v>1800</v>
      </c>
      <c r="F1014">
        <v>2200</v>
      </c>
      <c r="G1014">
        <v>440</v>
      </c>
      <c r="H1014" s="114">
        <v>27730</v>
      </c>
      <c r="I1014" s="114">
        <v>29050</v>
      </c>
      <c r="J1014" s="113"/>
    </row>
    <row r="1015" spans="4:10" x14ac:dyDescent="0.3">
      <c r="G1015">
        <v>600</v>
      </c>
      <c r="H1015" s="114">
        <v>30600</v>
      </c>
      <c r="I1015" s="114">
        <v>32250</v>
      </c>
      <c r="J1015" s="113"/>
    </row>
    <row r="1016" spans="4:10" x14ac:dyDescent="0.3">
      <c r="F1016">
        <v>2400</v>
      </c>
      <c r="G1016">
        <v>440</v>
      </c>
      <c r="H1016" s="114">
        <v>29550</v>
      </c>
      <c r="I1016" s="114">
        <v>30900</v>
      </c>
      <c r="J1016" s="113"/>
    </row>
    <row r="1017" spans="4:10" x14ac:dyDescent="0.3">
      <c r="G1017">
        <v>600</v>
      </c>
      <c r="H1017" s="114">
        <v>33320</v>
      </c>
      <c r="I1017" s="114">
        <v>35110</v>
      </c>
      <c r="J1017" s="113"/>
    </row>
    <row r="1018" spans="4:10" x14ac:dyDescent="0.3">
      <c r="E1018">
        <v>2100</v>
      </c>
      <c r="F1018">
        <v>2200</v>
      </c>
      <c r="G1018">
        <v>440</v>
      </c>
      <c r="H1018" s="114">
        <v>32560</v>
      </c>
      <c r="I1018" s="114">
        <v>33950</v>
      </c>
      <c r="J1018" s="113"/>
    </row>
    <row r="1019" spans="4:10" x14ac:dyDescent="0.3">
      <c r="G1019">
        <v>600</v>
      </c>
      <c r="H1019" s="114">
        <v>35430</v>
      </c>
      <c r="I1019" s="114">
        <v>37160</v>
      </c>
      <c r="J1019" s="113"/>
    </row>
    <row r="1020" spans="4:10" x14ac:dyDescent="0.3">
      <c r="F1020">
        <v>2400</v>
      </c>
      <c r="G1020">
        <v>440</v>
      </c>
      <c r="H1020" s="114">
        <v>34740</v>
      </c>
      <c r="I1020" s="114">
        <v>36160</v>
      </c>
      <c r="J1020" s="113"/>
    </row>
    <row r="1021" spans="4:10" x14ac:dyDescent="0.3">
      <c r="G1021">
        <v>600</v>
      </c>
      <c r="H1021" s="114">
        <v>38730</v>
      </c>
      <c r="I1021" s="114">
        <v>40630</v>
      </c>
      <c r="J1021" s="113"/>
    </row>
    <row r="1022" spans="4:10" x14ac:dyDescent="0.3">
      <c r="E1022">
        <v>2400</v>
      </c>
      <c r="F1022">
        <v>2200</v>
      </c>
      <c r="G1022">
        <v>440</v>
      </c>
      <c r="H1022" s="114">
        <v>37390</v>
      </c>
      <c r="I1022" s="114">
        <v>38870</v>
      </c>
      <c r="J1022" s="113"/>
    </row>
    <row r="1023" spans="4:10" x14ac:dyDescent="0.3">
      <c r="G1023">
        <v>600</v>
      </c>
      <c r="H1023" s="114">
        <v>40400</v>
      </c>
      <c r="I1023" s="114">
        <v>42250</v>
      </c>
      <c r="J1023" s="113"/>
    </row>
    <row r="1024" spans="4:10" x14ac:dyDescent="0.3">
      <c r="F1024">
        <v>2400</v>
      </c>
      <c r="G1024">
        <v>440</v>
      </c>
      <c r="H1024" s="114">
        <v>39890</v>
      </c>
      <c r="I1024" s="114">
        <v>41400</v>
      </c>
      <c r="J1024" s="113"/>
    </row>
    <row r="1025" spans="4:10" x14ac:dyDescent="0.3">
      <c r="G1025">
        <v>600</v>
      </c>
      <c r="H1025" s="114">
        <v>44020</v>
      </c>
      <c r="I1025" s="114">
        <v>46040</v>
      </c>
      <c r="J1025" s="113"/>
    </row>
    <row r="1026" spans="4:10" x14ac:dyDescent="0.3">
      <c r="D1026" t="s">
        <v>268</v>
      </c>
      <c r="E1026">
        <v>1800</v>
      </c>
      <c r="F1026">
        <v>2200</v>
      </c>
      <c r="G1026">
        <v>440</v>
      </c>
      <c r="H1026" s="114">
        <v>27730</v>
      </c>
      <c r="I1026" s="114">
        <v>29050</v>
      </c>
      <c r="J1026" s="113"/>
    </row>
    <row r="1027" spans="4:10" x14ac:dyDescent="0.3">
      <c r="G1027">
        <v>600</v>
      </c>
      <c r="H1027" s="114">
        <v>30600</v>
      </c>
      <c r="I1027" s="114">
        <v>32250</v>
      </c>
      <c r="J1027" s="113"/>
    </row>
    <row r="1028" spans="4:10" x14ac:dyDescent="0.3">
      <c r="F1028">
        <v>2400</v>
      </c>
      <c r="G1028">
        <v>440</v>
      </c>
      <c r="H1028" s="114">
        <v>29550</v>
      </c>
      <c r="I1028" s="114">
        <v>30900</v>
      </c>
      <c r="J1028" s="113"/>
    </row>
    <row r="1029" spans="4:10" x14ac:dyDescent="0.3">
      <c r="G1029">
        <v>600</v>
      </c>
      <c r="H1029" s="114">
        <v>33320</v>
      </c>
      <c r="I1029" s="114">
        <v>35110</v>
      </c>
      <c r="J1029" s="113"/>
    </row>
    <row r="1030" spans="4:10" x14ac:dyDescent="0.3">
      <c r="E1030">
        <v>2100</v>
      </c>
      <c r="F1030">
        <v>2200</v>
      </c>
      <c r="G1030">
        <v>440</v>
      </c>
      <c r="H1030" s="114">
        <v>32560</v>
      </c>
      <c r="I1030" s="114">
        <v>33950</v>
      </c>
      <c r="J1030" s="113"/>
    </row>
    <row r="1031" spans="4:10" x14ac:dyDescent="0.3">
      <c r="G1031">
        <v>600</v>
      </c>
      <c r="H1031" s="114">
        <v>35430</v>
      </c>
      <c r="I1031" s="114">
        <v>37160</v>
      </c>
      <c r="J1031" s="113"/>
    </row>
    <row r="1032" spans="4:10" x14ac:dyDescent="0.3">
      <c r="F1032">
        <v>2400</v>
      </c>
      <c r="G1032">
        <v>440</v>
      </c>
      <c r="H1032" s="114">
        <v>34740</v>
      </c>
      <c r="I1032" s="114">
        <v>36160</v>
      </c>
      <c r="J1032" s="113"/>
    </row>
    <row r="1033" spans="4:10" x14ac:dyDescent="0.3">
      <c r="G1033">
        <v>600</v>
      </c>
      <c r="H1033" s="114">
        <v>38730</v>
      </c>
      <c r="I1033" s="114">
        <v>40630</v>
      </c>
      <c r="J1033" s="113"/>
    </row>
    <row r="1034" spans="4:10" x14ac:dyDescent="0.3">
      <c r="E1034">
        <v>2400</v>
      </c>
      <c r="F1034">
        <v>2200</v>
      </c>
      <c r="G1034">
        <v>440</v>
      </c>
      <c r="H1034" s="114">
        <v>37390</v>
      </c>
      <c r="I1034" s="114">
        <v>38870</v>
      </c>
      <c r="J1034" s="113"/>
    </row>
    <row r="1035" spans="4:10" x14ac:dyDescent="0.3">
      <c r="G1035">
        <v>600</v>
      </c>
      <c r="H1035" s="114">
        <v>40400</v>
      </c>
      <c r="I1035" s="114">
        <v>42250</v>
      </c>
      <c r="J1035" s="113"/>
    </row>
    <row r="1036" spans="4:10" x14ac:dyDescent="0.3">
      <c r="F1036">
        <v>2400</v>
      </c>
      <c r="G1036">
        <v>440</v>
      </c>
      <c r="H1036" s="114">
        <v>39890</v>
      </c>
      <c r="I1036" s="114">
        <v>41400</v>
      </c>
      <c r="J1036" s="113"/>
    </row>
    <row r="1037" spans="4:10" x14ac:dyDescent="0.3">
      <c r="G1037">
        <v>600</v>
      </c>
      <c r="H1037" s="114">
        <v>44020</v>
      </c>
      <c r="I1037" s="114">
        <v>46040</v>
      </c>
      <c r="J1037" s="113"/>
    </row>
    <row r="1038" spans="4:10" x14ac:dyDescent="0.3">
      <c r="D1038" t="s">
        <v>269</v>
      </c>
      <c r="E1038">
        <v>1800</v>
      </c>
      <c r="F1038">
        <v>2200</v>
      </c>
      <c r="G1038">
        <v>440</v>
      </c>
      <c r="H1038" s="114">
        <v>27730</v>
      </c>
      <c r="I1038" s="114">
        <v>29050</v>
      </c>
      <c r="J1038" s="113"/>
    </row>
    <row r="1039" spans="4:10" x14ac:dyDescent="0.3">
      <c r="G1039">
        <v>600</v>
      </c>
      <c r="H1039" s="114">
        <v>30600</v>
      </c>
      <c r="I1039" s="114">
        <v>32250</v>
      </c>
      <c r="J1039" s="113"/>
    </row>
    <row r="1040" spans="4:10" x14ac:dyDescent="0.3">
      <c r="F1040">
        <v>2400</v>
      </c>
      <c r="G1040">
        <v>440</v>
      </c>
      <c r="H1040" s="114">
        <v>29550</v>
      </c>
      <c r="I1040" s="114">
        <v>30900</v>
      </c>
      <c r="J1040" s="113"/>
    </row>
    <row r="1041" spans="4:10" x14ac:dyDescent="0.3">
      <c r="G1041">
        <v>600</v>
      </c>
      <c r="H1041" s="114">
        <v>33320</v>
      </c>
      <c r="I1041" s="114">
        <v>35110</v>
      </c>
      <c r="J1041" s="113"/>
    </row>
    <row r="1042" spans="4:10" x14ac:dyDescent="0.3">
      <c r="E1042">
        <v>2100</v>
      </c>
      <c r="F1042">
        <v>2200</v>
      </c>
      <c r="G1042">
        <v>440</v>
      </c>
      <c r="H1042" s="114">
        <v>32560</v>
      </c>
      <c r="I1042" s="114">
        <v>33950</v>
      </c>
      <c r="J1042" s="113"/>
    </row>
    <row r="1043" spans="4:10" x14ac:dyDescent="0.3">
      <c r="G1043">
        <v>600</v>
      </c>
      <c r="H1043" s="114">
        <v>35430</v>
      </c>
      <c r="I1043" s="114">
        <v>37160</v>
      </c>
      <c r="J1043" s="113"/>
    </row>
    <row r="1044" spans="4:10" x14ac:dyDescent="0.3">
      <c r="F1044">
        <v>2400</v>
      </c>
      <c r="G1044">
        <v>440</v>
      </c>
      <c r="H1044" s="114">
        <v>34740</v>
      </c>
      <c r="I1044" s="114">
        <v>36160</v>
      </c>
      <c r="J1044" s="113"/>
    </row>
    <row r="1045" spans="4:10" x14ac:dyDescent="0.3">
      <c r="G1045">
        <v>600</v>
      </c>
      <c r="H1045" s="114">
        <v>38730</v>
      </c>
      <c r="I1045" s="114">
        <v>40630</v>
      </c>
      <c r="J1045" s="113"/>
    </row>
    <row r="1046" spans="4:10" x14ac:dyDescent="0.3">
      <c r="E1046">
        <v>2400</v>
      </c>
      <c r="F1046">
        <v>2200</v>
      </c>
      <c r="G1046">
        <v>440</v>
      </c>
      <c r="H1046" s="114">
        <v>37390</v>
      </c>
      <c r="I1046" s="114">
        <v>38870</v>
      </c>
      <c r="J1046" s="113"/>
    </row>
    <row r="1047" spans="4:10" x14ac:dyDescent="0.3">
      <c r="G1047">
        <v>600</v>
      </c>
      <c r="H1047" s="114">
        <v>40400</v>
      </c>
      <c r="I1047" s="114">
        <v>42250</v>
      </c>
      <c r="J1047" s="113"/>
    </row>
    <row r="1048" spans="4:10" x14ac:dyDescent="0.3">
      <c r="F1048">
        <v>2400</v>
      </c>
      <c r="G1048">
        <v>440</v>
      </c>
      <c r="H1048" s="114">
        <v>39890</v>
      </c>
      <c r="I1048" s="114">
        <v>41400</v>
      </c>
      <c r="J1048" s="113"/>
    </row>
    <row r="1049" spans="4:10" x14ac:dyDescent="0.3">
      <c r="G1049">
        <v>600</v>
      </c>
      <c r="H1049" s="114">
        <v>44020</v>
      </c>
      <c r="I1049" s="114">
        <v>46040</v>
      </c>
      <c r="J1049" s="113"/>
    </row>
    <row r="1050" spans="4:10" x14ac:dyDescent="0.3">
      <c r="D1050" t="s">
        <v>270</v>
      </c>
      <c r="E1050">
        <v>1800</v>
      </c>
      <c r="F1050">
        <v>2200</v>
      </c>
      <c r="G1050">
        <v>440</v>
      </c>
      <c r="H1050" s="114">
        <v>27730</v>
      </c>
      <c r="I1050" s="114">
        <v>29050</v>
      </c>
      <c r="J1050" s="113"/>
    </row>
    <row r="1051" spans="4:10" x14ac:dyDescent="0.3">
      <c r="G1051">
        <v>600</v>
      </c>
      <c r="H1051" s="114">
        <v>30600</v>
      </c>
      <c r="I1051" s="114">
        <v>32250</v>
      </c>
      <c r="J1051" s="113"/>
    </row>
    <row r="1052" spans="4:10" x14ac:dyDescent="0.3">
      <c r="F1052">
        <v>2400</v>
      </c>
      <c r="G1052">
        <v>440</v>
      </c>
      <c r="H1052" s="114">
        <v>29550</v>
      </c>
      <c r="I1052" s="114">
        <v>30900</v>
      </c>
      <c r="J1052" s="113"/>
    </row>
    <row r="1053" spans="4:10" x14ac:dyDescent="0.3">
      <c r="G1053">
        <v>600</v>
      </c>
      <c r="H1053" s="114">
        <v>33320</v>
      </c>
      <c r="I1053" s="114">
        <v>35110</v>
      </c>
      <c r="J1053" s="113"/>
    </row>
    <row r="1054" spans="4:10" x14ac:dyDescent="0.3">
      <c r="E1054">
        <v>2100</v>
      </c>
      <c r="F1054">
        <v>2200</v>
      </c>
      <c r="G1054">
        <v>440</v>
      </c>
      <c r="H1054" s="114">
        <v>32560</v>
      </c>
      <c r="I1054" s="114">
        <v>33950</v>
      </c>
      <c r="J1054" s="113"/>
    </row>
    <row r="1055" spans="4:10" x14ac:dyDescent="0.3">
      <c r="G1055">
        <v>600</v>
      </c>
      <c r="H1055" s="114">
        <v>35430</v>
      </c>
      <c r="I1055" s="114">
        <v>37160</v>
      </c>
      <c r="J1055" s="113"/>
    </row>
    <row r="1056" spans="4:10" x14ac:dyDescent="0.3">
      <c r="F1056">
        <v>2400</v>
      </c>
      <c r="G1056">
        <v>440</v>
      </c>
      <c r="H1056" s="114">
        <v>34740</v>
      </c>
      <c r="I1056" s="114">
        <v>36160</v>
      </c>
      <c r="J1056" s="113"/>
    </row>
    <row r="1057" spans="4:10" x14ac:dyDescent="0.3">
      <c r="G1057">
        <v>600</v>
      </c>
      <c r="H1057" s="114">
        <v>38730</v>
      </c>
      <c r="I1057" s="114">
        <v>40630</v>
      </c>
      <c r="J1057" s="113"/>
    </row>
    <row r="1058" spans="4:10" x14ac:dyDescent="0.3">
      <c r="E1058">
        <v>2400</v>
      </c>
      <c r="F1058">
        <v>2200</v>
      </c>
      <c r="G1058">
        <v>440</v>
      </c>
      <c r="H1058" s="114">
        <v>37390</v>
      </c>
      <c r="I1058" s="114">
        <v>38870</v>
      </c>
      <c r="J1058" s="113"/>
    </row>
    <row r="1059" spans="4:10" x14ac:dyDescent="0.3">
      <c r="G1059">
        <v>600</v>
      </c>
      <c r="H1059" s="114">
        <v>40400</v>
      </c>
      <c r="I1059" s="114">
        <v>42250</v>
      </c>
      <c r="J1059" s="113"/>
    </row>
    <row r="1060" spans="4:10" x14ac:dyDescent="0.3">
      <c r="F1060">
        <v>2400</v>
      </c>
      <c r="G1060">
        <v>440</v>
      </c>
      <c r="H1060" s="114">
        <v>39890</v>
      </c>
      <c r="I1060" s="114">
        <v>41400</v>
      </c>
      <c r="J1060" s="113"/>
    </row>
    <row r="1061" spans="4:10" x14ac:dyDescent="0.3">
      <c r="G1061">
        <v>600</v>
      </c>
      <c r="H1061" s="114">
        <v>44020</v>
      </c>
      <c r="I1061" s="114">
        <v>46040</v>
      </c>
      <c r="J1061" s="113"/>
    </row>
    <row r="1062" spans="4:10" x14ac:dyDescent="0.3">
      <c r="D1062" t="s">
        <v>271</v>
      </c>
      <c r="E1062">
        <v>1800</v>
      </c>
      <c r="F1062">
        <v>2200</v>
      </c>
      <c r="G1062">
        <v>440</v>
      </c>
      <c r="H1062" s="114">
        <v>27730</v>
      </c>
      <c r="I1062" s="114">
        <v>29050</v>
      </c>
      <c r="J1062" s="113"/>
    </row>
    <row r="1063" spans="4:10" x14ac:dyDescent="0.3">
      <c r="G1063">
        <v>600</v>
      </c>
      <c r="H1063" s="114">
        <v>30600</v>
      </c>
      <c r="I1063" s="114">
        <v>32250</v>
      </c>
      <c r="J1063" s="113"/>
    </row>
    <row r="1064" spans="4:10" x14ac:dyDescent="0.3">
      <c r="F1064">
        <v>2400</v>
      </c>
      <c r="G1064">
        <v>440</v>
      </c>
      <c r="H1064" s="114">
        <v>29550</v>
      </c>
      <c r="I1064" s="114">
        <v>30900</v>
      </c>
      <c r="J1064" s="113"/>
    </row>
    <row r="1065" spans="4:10" x14ac:dyDescent="0.3">
      <c r="G1065">
        <v>600</v>
      </c>
      <c r="H1065" s="114">
        <v>33320</v>
      </c>
      <c r="I1065" s="114">
        <v>35110</v>
      </c>
      <c r="J1065" s="113"/>
    </row>
    <row r="1066" spans="4:10" x14ac:dyDescent="0.3">
      <c r="E1066">
        <v>2100</v>
      </c>
      <c r="F1066">
        <v>2200</v>
      </c>
      <c r="G1066">
        <v>440</v>
      </c>
      <c r="H1066" s="114">
        <v>32560</v>
      </c>
      <c r="I1066" s="114">
        <v>33950</v>
      </c>
      <c r="J1066" s="113"/>
    </row>
    <row r="1067" spans="4:10" x14ac:dyDescent="0.3">
      <c r="G1067">
        <v>600</v>
      </c>
      <c r="H1067" s="114">
        <v>35430</v>
      </c>
      <c r="I1067" s="114">
        <v>37160</v>
      </c>
      <c r="J1067" s="113"/>
    </row>
    <row r="1068" spans="4:10" x14ac:dyDescent="0.3">
      <c r="F1068">
        <v>2400</v>
      </c>
      <c r="G1068">
        <v>440</v>
      </c>
      <c r="H1068" s="114">
        <v>34740</v>
      </c>
      <c r="I1068" s="114">
        <v>36160</v>
      </c>
      <c r="J1068" s="113"/>
    </row>
    <row r="1069" spans="4:10" x14ac:dyDescent="0.3">
      <c r="G1069">
        <v>600</v>
      </c>
      <c r="H1069" s="114">
        <v>38730</v>
      </c>
      <c r="I1069" s="114">
        <v>40630</v>
      </c>
      <c r="J1069" s="113"/>
    </row>
    <row r="1070" spans="4:10" x14ac:dyDescent="0.3">
      <c r="E1070">
        <v>2400</v>
      </c>
      <c r="F1070">
        <v>2200</v>
      </c>
      <c r="G1070">
        <v>440</v>
      </c>
      <c r="H1070" s="114">
        <v>37390</v>
      </c>
      <c r="I1070" s="114">
        <v>38870</v>
      </c>
      <c r="J1070" s="113"/>
    </row>
    <row r="1071" spans="4:10" x14ac:dyDescent="0.3">
      <c r="G1071">
        <v>600</v>
      </c>
      <c r="H1071" s="114">
        <v>40400</v>
      </c>
      <c r="I1071" s="114">
        <v>42250</v>
      </c>
      <c r="J1071" s="113"/>
    </row>
    <row r="1072" spans="4:10" x14ac:dyDescent="0.3">
      <c r="F1072">
        <v>2400</v>
      </c>
      <c r="G1072">
        <v>440</v>
      </c>
      <c r="H1072" s="114">
        <v>39890</v>
      </c>
      <c r="I1072" s="114">
        <v>41400</v>
      </c>
      <c r="J1072" s="113"/>
    </row>
    <row r="1073" spans="4:10" x14ac:dyDescent="0.3">
      <c r="G1073">
        <v>600</v>
      </c>
      <c r="H1073" s="114">
        <v>44020</v>
      </c>
      <c r="I1073" s="114">
        <v>46040</v>
      </c>
      <c r="J1073" s="113"/>
    </row>
    <row r="1074" spans="4:10" x14ac:dyDescent="0.3">
      <c r="D1074" t="s">
        <v>272</v>
      </c>
      <c r="E1074">
        <v>1800</v>
      </c>
      <c r="F1074">
        <v>2200</v>
      </c>
      <c r="G1074">
        <v>440</v>
      </c>
      <c r="H1074" s="114">
        <v>27730</v>
      </c>
      <c r="I1074" s="114">
        <v>29050</v>
      </c>
      <c r="J1074" s="113"/>
    </row>
    <row r="1075" spans="4:10" x14ac:dyDescent="0.3">
      <c r="G1075">
        <v>600</v>
      </c>
      <c r="H1075" s="114">
        <v>30600</v>
      </c>
      <c r="I1075" s="114">
        <v>32250</v>
      </c>
      <c r="J1075" s="113"/>
    </row>
    <row r="1076" spans="4:10" x14ac:dyDescent="0.3">
      <c r="F1076">
        <v>2400</v>
      </c>
      <c r="G1076">
        <v>440</v>
      </c>
      <c r="H1076" s="114">
        <v>29550</v>
      </c>
      <c r="I1076" s="114">
        <v>30900</v>
      </c>
      <c r="J1076" s="113"/>
    </row>
    <row r="1077" spans="4:10" x14ac:dyDescent="0.3">
      <c r="G1077">
        <v>600</v>
      </c>
      <c r="H1077" s="114">
        <v>33320</v>
      </c>
      <c r="I1077" s="114">
        <v>35110</v>
      </c>
      <c r="J1077" s="113"/>
    </row>
    <row r="1078" spans="4:10" x14ac:dyDescent="0.3">
      <c r="E1078">
        <v>2100</v>
      </c>
      <c r="F1078">
        <v>2200</v>
      </c>
      <c r="G1078">
        <v>440</v>
      </c>
      <c r="H1078" s="114">
        <v>32560</v>
      </c>
      <c r="I1078" s="114">
        <v>33950</v>
      </c>
      <c r="J1078" s="113"/>
    </row>
    <row r="1079" spans="4:10" x14ac:dyDescent="0.3">
      <c r="G1079">
        <v>600</v>
      </c>
      <c r="H1079" s="114">
        <v>35430</v>
      </c>
      <c r="I1079" s="114">
        <v>37160</v>
      </c>
      <c r="J1079" s="113"/>
    </row>
    <row r="1080" spans="4:10" x14ac:dyDescent="0.3">
      <c r="F1080">
        <v>2400</v>
      </c>
      <c r="G1080">
        <v>440</v>
      </c>
      <c r="H1080" s="114">
        <v>34740</v>
      </c>
      <c r="I1080" s="114">
        <v>36160</v>
      </c>
      <c r="J1080" s="113"/>
    </row>
    <row r="1081" spans="4:10" x14ac:dyDescent="0.3">
      <c r="G1081">
        <v>600</v>
      </c>
      <c r="H1081" s="114">
        <v>38730</v>
      </c>
      <c r="I1081" s="114">
        <v>40630</v>
      </c>
      <c r="J1081" s="113"/>
    </row>
    <row r="1082" spans="4:10" x14ac:dyDescent="0.3">
      <c r="E1082">
        <v>2400</v>
      </c>
      <c r="F1082">
        <v>2200</v>
      </c>
      <c r="G1082">
        <v>440</v>
      </c>
      <c r="H1082" s="114">
        <v>37390</v>
      </c>
      <c r="I1082" s="114">
        <v>38870</v>
      </c>
      <c r="J1082" s="113"/>
    </row>
    <row r="1083" spans="4:10" x14ac:dyDescent="0.3">
      <c r="G1083">
        <v>600</v>
      </c>
      <c r="H1083" s="114">
        <v>40400</v>
      </c>
      <c r="I1083" s="114">
        <v>42250</v>
      </c>
      <c r="J1083" s="113"/>
    </row>
    <row r="1084" spans="4:10" x14ac:dyDescent="0.3">
      <c r="F1084">
        <v>2400</v>
      </c>
      <c r="G1084">
        <v>440</v>
      </c>
      <c r="H1084" s="114">
        <v>39890</v>
      </c>
      <c r="I1084" s="114">
        <v>41400</v>
      </c>
      <c r="J1084" s="113"/>
    </row>
    <row r="1085" spans="4:10" x14ac:dyDescent="0.3">
      <c r="G1085">
        <v>600</v>
      </c>
      <c r="H1085" s="114">
        <v>44020</v>
      </c>
      <c r="I1085" s="114">
        <v>46040</v>
      </c>
      <c r="J1085" s="113"/>
    </row>
    <row r="1086" spans="4:10" x14ac:dyDescent="0.3">
      <c r="D1086" t="s">
        <v>273</v>
      </c>
      <c r="E1086">
        <v>1800</v>
      </c>
      <c r="F1086">
        <v>2200</v>
      </c>
      <c r="G1086">
        <v>440</v>
      </c>
      <c r="H1086" s="114">
        <v>21280</v>
      </c>
      <c r="I1086" s="114">
        <v>23360</v>
      </c>
      <c r="J1086" s="113"/>
    </row>
    <row r="1087" spans="4:10" x14ac:dyDescent="0.3">
      <c r="G1087">
        <v>600</v>
      </c>
      <c r="H1087" s="114">
        <v>24150</v>
      </c>
      <c r="I1087" s="114">
        <v>26560</v>
      </c>
      <c r="J1087" s="113"/>
    </row>
    <row r="1088" spans="4:10" x14ac:dyDescent="0.3">
      <c r="F1088">
        <v>2400</v>
      </c>
      <c r="G1088">
        <v>440</v>
      </c>
      <c r="H1088" s="114">
        <v>22640</v>
      </c>
      <c r="I1088" s="114">
        <v>24830</v>
      </c>
      <c r="J1088" s="113"/>
    </row>
    <row r="1089" spans="4:10" x14ac:dyDescent="0.3">
      <c r="G1089">
        <v>600</v>
      </c>
      <c r="H1089" s="114">
        <v>26410</v>
      </c>
      <c r="I1089" s="114">
        <v>29040</v>
      </c>
      <c r="J1089" s="113"/>
    </row>
    <row r="1090" spans="4:10" x14ac:dyDescent="0.3">
      <c r="E1090">
        <v>2100</v>
      </c>
      <c r="F1090">
        <v>2200</v>
      </c>
      <c r="G1090">
        <v>440</v>
      </c>
      <c r="H1090" s="114">
        <v>24580</v>
      </c>
      <c r="I1090" s="114">
        <v>26930</v>
      </c>
      <c r="J1090" s="113"/>
    </row>
    <row r="1091" spans="4:10" x14ac:dyDescent="0.3">
      <c r="G1091">
        <v>600</v>
      </c>
      <c r="H1091" s="114">
        <v>27450</v>
      </c>
      <c r="I1091" s="114">
        <v>30140</v>
      </c>
      <c r="J1091" s="113"/>
    </row>
    <row r="1092" spans="4:10" x14ac:dyDescent="0.3">
      <c r="F1092">
        <v>2400</v>
      </c>
      <c r="G1092">
        <v>440</v>
      </c>
      <c r="H1092" s="114">
        <v>26180</v>
      </c>
      <c r="I1092" s="114">
        <v>28700</v>
      </c>
      <c r="J1092" s="113"/>
    </row>
    <row r="1093" spans="4:10" x14ac:dyDescent="0.3">
      <c r="G1093">
        <v>600</v>
      </c>
      <c r="H1093" s="114">
        <v>30170</v>
      </c>
      <c r="I1093" s="114">
        <v>33170</v>
      </c>
      <c r="J1093" s="113"/>
    </row>
    <row r="1094" spans="4:10" x14ac:dyDescent="0.3">
      <c r="E1094">
        <v>2400</v>
      </c>
      <c r="F1094">
        <v>2200</v>
      </c>
      <c r="G1094">
        <v>440</v>
      </c>
      <c r="H1094" s="114">
        <v>27760</v>
      </c>
      <c r="I1094" s="114">
        <v>30420</v>
      </c>
      <c r="J1094" s="113"/>
    </row>
    <row r="1095" spans="4:10" x14ac:dyDescent="0.3">
      <c r="G1095">
        <v>600</v>
      </c>
      <c r="H1095" s="114">
        <v>30770</v>
      </c>
      <c r="I1095" s="114">
        <v>33800</v>
      </c>
      <c r="J1095" s="113"/>
    </row>
    <row r="1096" spans="4:10" x14ac:dyDescent="0.3">
      <c r="F1096">
        <v>2400</v>
      </c>
      <c r="G1096">
        <v>440</v>
      </c>
      <c r="H1096" s="114">
        <v>29360</v>
      </c>
      <c r="I1096" s="114">
        <v>32130</v>
      </c>
      <c r="J1096" s="113"/>
    </row>
    <row r="1097" spans="4:10" x14ac:dyDescent="0.3">
      <c r="G1097">
        <v>600</v>
      </c>
      <c r="H1097" s="114">
        <v>33490</v>
      </c>
      <c r="I1097" s="114">
        <v>36770</v>
      </c>
      <c r="J1097" s="113"/>
    </row>
    <row r="1098" spans="4:10" x14ac:dyDescent="0.3">
      <c r="D1098" t="s">
        <v>274</v>
      </c>
      <c r="E1098">
        <v>1800</v>
      </c>
      <c r="F1098">
        <v>2200</v>
      </c>
      <c r="G1098">
        <v>440</v>
      </c>
      <c r="H1098" s="114">
        <v>27730</v>
      </c>
      <c r="I1098" s="114">
        <v>29050</v>
      </c>
      <c r="J1098" s="113"/>
    </row>
    <row r="1099" spans="4:10" x14ac:dyDescent="0.3">
      <c r="G1099">
        <v>600</v>
      </c>
      <c r="H1099" s="114">
        <v>30600</v>
      </c>
      <c r="I1099" s="114">
        <v>32250</v>
      </c>
      <c r="J1099" s="113"/>
    </row>
    <row r="1100" spans="4:10" x14ac:dyDescent="0.3">
      <c r="F1100">
        <v>2400</v>
      </c>
      <c r="G1100">
        <v>440</v>
      </c>
      <c r="H1100" s="114">
        <v>29550</v>
      </c>
      <c r="I1100" s="114">
        <v>30900</v>
      </c>
      <c r="J1100" s="113"/>
    </row>
    <row r="1101" spans="4:10" x14ac:dyDescent="0.3">
      <c r="G1101">
        <v>600</v>
      </c>
      <c r="H1101" s="114">
        <v>33320</v>
      </c>
      <c r="I1101" s="114">
        <v>35110</v>
      </c>
      <c r="J1101" s="113"/>
    </row>
    <row r="1102" spans="4:10" x14ac:dyDescent="0.3">
      <c r="E1102">
        <v>2100</v>
      </c>
      <c r="F1102">
        <v>2200</v>
      </c>
      <c r="G1102">
        <v>440</v>
      </c>
      <c r="H1102" s="114">
        <v>32560</v>
      </c>
      <c r="I1102" s="114">
        <v>33950</v>
      </c>
      <c r="J1102" s="113"/>
    </row>
    <row r="1103" spans="4:10" x14ac:dyDescent="0.3">
      <c r="G1103">
        <v>600</v>
      </c>
      <c r="H1103" s="114">
        <v>35430</v>
      </c>
      <c r="I1103" s="114">
        <v>37160</v>
      </c>
      <c r="J1103" s="113"/>
    </row>
    <row r="1104" spans="4:10" x14ac:dyDescent="0.3">
      <c r="F1104">
        <v>2400</v>
      </c>
      <c r="G1104">
        <v>440</v>
      </c>
      <c r="H1104" s="114">
        <v>34740</v>
      </c>
      <c r="I1104" s="114">
        <v>36160</v>
      </c>
      <c r="J1104" s="113"/>
    </row>
    <row r="1105" spans="4:10" x14ac:dyDescent="0.3">
      <c r="G1105">
        <v>600</v>
      </c>
      <c r="H1105" s="114">
        <v>38730</v>
      </c>
      <c r="I1105" s="114">
        <v>40630</v>
      </c>
      <c r="J1105" s="113"/>
    </row>
    <row r="1106" spans="4:10" x14ac:dyDescent="0.3">
      <c r="E1106">
        <v>2400</v>
      </c>
      <c r="F1106">
        <v>2200</v>
      </c>
      <c r="G1106">
        <v>440</v>
      </c>
      <c r="H1106" s="114">
        <v>37390</v>
      </c>
      <c r="I1106" s="114">
        <v>38870</v>
      </c>
      <c r="J1106" s="113"/>
    </row>
    <row r="1107" spans="4:10" x14ac:dyDescent="0.3">
      <c r="G1107">
        <v>600</v>
      </c>
      <c r="H1107" s="114">
        <v>40400</v>
      </c>
      <c r="I1107" s="114">
        <v>42250</v>
      </c>
      <c r="J1107" s="113"/>
    </row>
    <row r="1108" spans="4:10" x14ac:dyDescent="0.3">
      <c r="F1108">
        <v>2400</v>
      </c>
      <c r="G1108">
        <v>440</v>
      </c>
      <c r="H1108" s="114">
        <v>39890</v>
      </c>
      <c r="I1108" s="114">
        <v>41400</v>
      </c>
      <c r="J1108" s="113"/>
    </row>
    <row r="1109" spans="4:10" x14ac:dyDescent="0.3">
      <c r="G1109">
        <v>600</v>
      </c>
      <c r="H1109" s="114">
        <v>44020</v>
      </c>
      <c r="I1109" s="114">
        <v>46040</v>
      </c>
      <c r="J1109" s="113"/>
    </row>
    <row r="1110" spans="4:10" x14ac:dyDescent="0.3">
      <c r="D1110" t="s">
        <v>275</v>
      </c>
      <c r="E1110">
        <v>1800</v>
      </c>
      <c r="F1110">
        <v>2200</v>
      </c>
      <c r="G1110">
        <v>440</v>
      </c>
      <c r="H1110" s="114">
        <v>27730</v>
      </c>
      <c r="I1110" s="114">
        <v>29050</v>
      </c>
      <c r="J1110" s="113"/>
    </row>
    <row r="1111" spans="4:10" x14ac:dyDescent="0.3">
      <c r="G1111">
        <v>600</v>
      </c>
      <c r="H1111" s="114">
        <v>30600</v>
      </c>
      <c r="I1111" s="114">
        <v>32250</v>
      </c>
      <c r="J1111" s="113"/>
    </row>
    <row r="1112" spans="4:10" x14ac:dyDescent="0.3">
      <c r="F1112">
        <v>2400</v>
      </c>
      <c r="G1112">
        <v>440</v>
      </c>
      <c r="H1112" s="114">
        <v>29550</v>
      </c>
      <c r="I1112" s="114">
        <v>30900</v>
      </c>
      <c r="J1112" s="113"/>
    </row>
    <row r="1113" spans="4:10" x14ac:dyDescent="0.3">
      <c r="G1113">
        <v>600</v>
      </c>
      <c r="H1113" s="114">
        <v>33320</v>
      </c>
      <c r="I1113" s="114">
        <v>35110</v>
      </c>
      <c r="J1113" s="113"/>
    </row>
    <row r="1114" spans="4:10" x14ac:dyDescent="0.3">
      <c r="E1114">
        <v>2100</v>
      </c>
      <c r="F1114">
        <v>2200</v>
      </c>
      <c r="G1114">
        <v>440</v>
      </c>
      <c r="H1114" s="114">
        <v>32560</v>
      </c>
      <c r="I1114" s="114">
        <v>33950</v>
      </c>
      <c r="J1114" s="113"/>
    </row>
    <row r="1115" spans="4:10" x14ac:dyDescent="0.3">
      <c r="G1115">
        <v>600</v>
      </c>
      <c r="H1115" s="114">
        <v>35430</v>
      </c>
      <c r="I1115" s="114">
        <v>37160</v>
      </c>
      <c r="J1115" s="113"/>
    </row>
    <row r="1116" spans="4:10" x14ac:dyDescent="0.3">
      <c r="F1116">
        <v>2400</v>
      </c>
      <c r="G1116">
        <v>440</v>
      </c>
      <c r="H1116" s="114">
        <v>34740</v>
      </c>
      <c r="I1116" s="114">
        <v>36160</v>
      </c>
      <c r="J1116" s="113"/>
    </row>
    <row r="1117" spans="4:10" x14ac:dyDescent="0.3">
      <c r="G1117">
        <v>600</v>
      </c>
      <c r="H1117" s="114">
        <v>38730</v>
      </c>
      <c r="I1117" s="114">
        <v>40630</v>
      </c>
      <c r="J1117" s="113"/>
    </row>
    <row r="1118" spans="4:10" x14ac:dyDescent="0.3">
      <c r="E1118">
        <v>2400</v>
      </c>
      <c r="F1118">
        <v>2200</v>
      </c>
      <c r="G1118">
        <v>440</v>
      </c>
      <c r="H1118" s="114">
        <v>37390</v>
      </c>
      <c r="I1118" s="114">
        <v>38870</v>
      </c>
      <c r="J1118" s="113"/>
    </row>
    <row r="1119" spans="4:10" x14ac:dyDescent="0.3">
      <c r="G1119">
        <v>600</v>
      </c>
      <c r="H1119" s="114">
        <v>40400</v>
      </c>
      <c r="I1119" s="114">
        <v>42250</v>
      </c>
      <c r="J1119" s="113"/>
    </row>
    <row r="1120" spans="4:10" x14ac:dyDescent="0.3">
      <c r="F1120">
        <v>2400</v>
      </c>
      <c r="G1120">
        <v>440</v>
      </c>
      <c r="H1120" s="114">
        <v>39890</v>
      </c>
      <c r="I1120" s="114">
        <v>41400</v>
      </c>
      <c r="J1120" s="113"/>
    </row>
    <row r="1121" spans="4:10" x14ac:dyDescent="0.3">
      <c r="G1121">
        <v>600</v>
      </c>
      <c r="H1121" s="114">
        <v>44020</v>
      </c>
      <c r="I1121" s="114">
        <v>46040</v>
      </c>
      <c r="J1121" s="113"/>
    </row>
    <row r="1122" spans="4:10" x14ac:dyDescent="0.3">
      <c r="D1122" t="s">
        <v>276</v>
      </c>
      <c r="E1122">
        <v>1800</v>
      </c>
      <c r="F1122">
        <v>2200</v>
      </c>
      <c r="G1122">
        <v>440</v>
      </c>
      <c r="H1122" s="114">
        <v>22180</v>
      </c>
      <c r="I1122" s="114">
        <v>23880</v>
      </c>
      <c r="J1122" s="113"/>
    </row>
    <row r="1123" spans="4:10" x14ac:dyDescent="0.3">
      <c r="G1123">
        <v>600</v>
      </c>
      <c r="H1123" s="114">
        <v>25050</v>
      </c>
      <c r="I1123" s="114">
        <v>27080</v>
      </c>
      <c r="J1123" s="113"/>
    </row>
    <row r="1124" spans="4:10" x14ac:dyDescent="0.3">
      <c r="F1124">
        <v>2400</v>
      </c>
      <c r="G1124">
        <v>440</v>
      </c>
      <c r="H1124" s="114">
        <v>23690</v>
      </c>
      <c r="I1124" s="114">
        <v>25460</v>
      </c>
      <c r="J1124" s="113"/>
    </row>
    <row r="1125" spans="4:10" x14ac:dyDescent="0.3">
      <c r="G1125">
        <v>600</v>
      </c>
      <c r="H1125" s="114">
        <v>27460</v>
      </c>
      <c r="I1125" s="114">
        <v>29670</v>
      </c>
      <c r="J1125" s="113"/>
    </row>
    <row r="1126" spans="4:10" x14ac:dyDescent="0.3">
      <c r="E1126">
        <v>2100</v>
      </c>
      <c r="F1126">
        <v>2200</v>
      </c>
      <c r="G1126">
        <v>440</v>
      </c>
      <c r="H1126" s="114">
        <v>25330</v>
      </c>
      <c r="I1126" s="114">
        <v>27200</v>
      </c>
      <c r="J1126" s="113"/>
    </row>
    <row r="1127" spans="4:10" x14ac:dyDescent="0.3">
      <c r="G1127">
        <v>600</v>
      </c>
      <c r="H1127" s="114">
        <v>28200</v>
      </c>
      <c r="I1127" s="114">
        <v>30410</v>
      </c>
      <c r="J1127" s="113"/>
    </row>
    <row r="1128" spans="4:10" x14ac:dyDescent="0.3">
      <c r="F1128">
        <v>2400</v>
      </c>
      <c r="G1128">
        <v>440</v>
      </c>
      <c r="H1128" s="114">
        <v>26940</v>
      </c>
      <c r="I1128" s="114">
        <v>28910</v>
      </c>
      <c r="J1128" s="113"/>
    </row>
    <row r="1129" spans="4:10" x14ac:dyDescent="0.3">
      <c r="G1129">
        <v>600</v>
      </c>
      <c r="H1129" s="114">
        <v>30930</v>
      </c>
      <c r="I1129" s="114">
        <v>33380</v>
      </c>
      <c r="J1129" s="113"/>
    </row>
    <row r="1130" spans="4:10" x14ac:dyDescent="0.3">
      <c r="E1130">
        <v>2400</v>
      </c>
      <c r="F1130">
        <v>2200</v>
      </c>
      <c r="G1130">
        <v>440</v>
      </c>
      <c r="H1130" s="114">
        <v>28670</v>
      </c>
      <c r="I1130" s="114">
        <v>30740</v>
      </c>
      <c r="J1130" s="113"/>
    </row>
    <row r="1131" spans="4:10" x14ac:dyDescent="0.3">
      <c r="G1131">
        <v>600</v>
      </c>
      <c r="H1131" s="114">
        <v>31680</v>
      </c>
      <c r="I1131" s="114">
        <v>34120</v>
      </c>
      <c r="J1131" s="113"/>
    </row>
    <row r="1132" spans="4:10" x14ac:dyDescent="0.3">
      <c r="F1132">
        <v>2400</v>
      </c>
      <c r="G1132">
        <v>440</v>
      </c>
      <c r="H1132" s="114">
        <v>30260</v>
      </c>
      <c r="I1132" s="114">
        <v>32400</v>
      </c>
      <c r="J1132" s="113"/>
    </row>
    <row r="1133" spans="4:10" x14ac:dyDescent="0.3">
      <c r="G1133">
        <v>600</v>
      </c>
      <c r="H1133" s="114">
        <v>34390</v>
      </c>
      <c r="I1133" s="114">
        <v>37040</v>
      </c>
      <c r="J1133" s="113"/>
    </row>
    <row r="1134" spans="4:10" x14ac:dyDescent="0.3">
      <c r="D1134" t="s">
        <v>277</v>
      </c>
      <c r="E1134">
        <v>1800</v>
      </c>
      <c r="F1134">
        <v>2200</v>
      </c>
      <c r="G1134">
        <v>440</v>
      </c>
      <c r="H1134" s="114">
        <v>20380</v>
      </c>
      <c r="I1134" s="114">
        <v>22840</v>
      </c>
      <c r="J1134" s="113"/>
    </row>
    <row r="1135" spans="4:10" x14ac:dyDescent="0.3">
      <c r="G1135">
        <v>600</v>
      </c>
      <c r="H1135" s="114">
        <v>23250</v>
      </c>
      <c r="I1135" s="114">
        <v>26040</v>
      </c>
      <c r="J1135" s="113"/>
    </row>
    <row r="1136" spans="4:10" x14ac:dyDescent="0.3">
      <c r="F1136">
        <v>2400</v>
      </c>
      <c r="G1136">
        <v>440</v>
      </c>
      <c r="H1136" s="114">
        <v>21590</v>
      </c>
      <c r="I1136" s="114">
        <v>24200</v>
      </c>
      <c r="J1136" s="113"/>
    </row>
    <row r="1137" spans="4:10" x14ac:dyDescent="0.3">
      <c r="G1137">
        <v>600</v>
      </c>
      <c r="H1137" s="114">
        <v>25360</v>
      </c>
      <c r="I1137" s="114">
        <v>28410</v>
      </c>
      <c r="J1137" s="113"/>
    </row>
    <row r="1138" spans="4:10" x14ac:dyDescent="0.3">
      <c r="E1138">
        <v>2100</v>
      </c>
      <c r="F1138">
        <v>2200</v>
      </c>
      <c r="G1138">
        <v>440</v>
      </c>
      <c r="H1138" s="114">
        <v>23830</v>
      </c>
      <c r="I1138" s="114">
        <v>26660</v>
      </c>
      <c r="J1138" s="113"/>
    </row>
    <row r="1139" spans="4:10" x14ac:dyDescent="0.3">
      <c r="G1139">
        <v>600</v>
      </c>
      <c r="H1139" s="114">
        <v>26700</v>
      </c>
      <c r="I1139" s="114">
        <v>29870</v>
      </c>
      <c r="J1139" s="113"/>
    </row>
    <row r="1140" spans="4:10" x14ac:dyDescent="0.3">
      <c r="F1140">
        <v>2400</v>
      </c>
      <c r="G1140">
        <v>440</v>
      </c>
      <c r="H1140" s="114">
        <v>25420</v>
      </c>
      <c r="I1140" s="114">
        <v>28490</v>
      </c>
      <c r="J1140" s="113"/>
    </row>
    <row r="1141" spans="4:10" x14ac:dyDescent="0.3">
      <c r="G1141">
        <v>600</v>
      </c>
      <c r="H1141" s="114">
        <v>29410</v>
      </c>
      <c r="I1141" s="114">
        <v>32960</v>
      </c>
      <c r="J1141" s="113"/>
    </row>
    <row r="1142" spans="4:10" x14ac:dyDescent="0.3">
      <c r="E1142">
        <v>2400</v>
      </c>
      <c r="F1142">
        <v>2200</v>
      </c>
      <c r="G1142">
        <v>440</v>
      </c>
      <c r="H1142" s="114">
        <v>26850</v>
      </c>
      <c r="I1142" s="114">
        <v>30100</v>
      </c>
      <c r="J1142" s="113"/>
    </row>
    <row r="1143" spans="4:10" x14ac:dyDescent="0.3">
      <c r="G1143">
        <v>600</v>
      </c>
      <c r="H1143" s="114">
        <v>29860</v>
      </c>
      <c r="I1143" s="114">
        <v>33480</v>
      </c>
      <c r="J1143" s="113"/>
    </row>
    <row r="1144" spans="4:10" x14ac:dyDescent="0.3">
      <c r="F1144">
        <v>2400</v>
      </c>
      <c r="G1144">
        <v>440</v>
      </c>
      <c r="H1144" s="114">
        <v>28460</v>
      </c>
      <c r="I1144" s="114">
        <v>31860</v>
      </c>
      <c r="J1144" s="113"/>
    </row>
    <row r="1145" spans="4:10" x14ac:dyDescent="0.3">
      <c r="G1145">
        <v>600</v>
      </c>
      <c r="H1145" s="114">
        <v>32590</v>
      </c>
      <c r="I1145" s="114">
        <v>36500</v>
      </c>
      <c r="J1145" s="113"/>
    </row>
    <row r="1146" spans="4:10" x14ac:dyDescent="0.3">
      <c r="D1146" t="s">
        <v>278</v>
      </c>
      <c r="E1146">
        <v>1800</v>
      </c>
      <c r="F1146">
        <v>2200</v>
      </c>
      <c r="G1146">
        <v>440</v>
      </c>
      <c r="H1146" s="114">
        <v>27730</v>
      </c>
      <c r="I1146" s="114">
        <v>29050</v>
      </c>
      <c r="J1146" s="113"/>
    </row>
    <row r="1147" spans="4:10" x14ac:dyDescent="0.3">
      <c r="G1147">
        <v>600</v>
      </c>
      <c r="H1147" s="114">
        <v>30600</v>
      </c>
      <c r="I1147" s="114">
        <v>32250</v>
      </c>
      <c r="J1147" s="113"/>
    </row>
    <row r="1148" spans="4:10" x14ac:dyDescent="0.3">
      <c r="F1148">
        <v>2400</v>
      </c>
      <c r="G1148">
        <v>440</v>
      </c>
      <c r="H1148" s="114">
        <v>29550</v>
      </c>
      <c r="I1148" s="114">
        <v>30900</v>
      </c>
      <c r="J1148" s="113"/>
    </row>
    <row r="1149" spans="4:10" x14ac:dyDescent="0.3">
      <c r="G1149">
        <v>600</v>
      </c>
      <c r="H1149" s="114">
        <v>33320</v>
      </c>
      <c r="I1149" s="114">
        <v>35110</v>
      </c>
      <c r="J1149" s="113"/>
    </row>
    <row r="1150" spans="4:10" x14ac:dyDescent="0.3">
      <c r="E1150">
        <v>2100</v>
      </c>
      <c r="F1150">
        <v>2200</v>
      </c>
      <c r="G1150">
        <v>440</v>
      </c>
      <c r="H1150" s="114">
        <v>32560</v>
      </c>
      <c r="I1150" s="114">
        <v>33950</v>
      </c>
      <c r="J1150" s="113"/>
    </row>
    <row r="1151" spans="4:10" x14ac:dyDescent="0.3">
      <c r="G1151">
        <v>600</v>
      </c>
      <c r="H1151" s="114">
        <v>35430</v>
      </c>
      <c r="I1151" s="114">
        <v>37160</v>
      </c>
      <c r="J1151" s="113"/>
    </row>
    <row r="1152" spans="4:10" x14ac:dyDescent="0.3">
      <c r="F1152">
        <v>2400</v>
      </c>
      <c r="G1152">
        <v>440</v>
      </c>
      <c r="H1152" s="114">
        <v>34740</v>
      </c>
      <c r="I1152" s="114">
        <v>36160</v>
      </c>
      <c r="J1152" s="113"/>
    </row>
    <row r="1153" spans="4:10" x14ac:dyDescent="0.3">
      <c r="G1153">
        <v>600</v>
      </c>
      <c r="H1153" s="114">
        <v>38730</v>
      </c>
      <c r="I1153" s="114">
        <v>40630</v>
      </c>
      <c r="J1153" s="113"/>
    </row>
    <row r="1154" spans="4:10" x14ac:dyDescent="0.3">
      <c r="E1154">
        <v>2400</v>
      </c>
      <c r="F1154">
        <v>2200</v>
      </c>
      <c r="G1154">
        <v>440</v>
      </c>
      <c r="H1154" s="114">
        <v>37390</v>
      </c>
      <c r="I1154" s="114">
        <v>38870</v>
      </c>
      <c r="J1154" s="113"/>
    </row>
    <row r="1155" spans="4:10" x14ac:dyDescent="0.3">
      <c r="G1155">
        <v>600</v>
      </c>
      <c r="H1155" s="114">
        <v>40400</v>
      </c>
      <c r="I1155" s="114">
        <v>42250</v>
      </c>
      <c r="J1155" s="113"/>
    </row>
    <row r="1156" spans="4:10" x14ac:dyDescent="0.3">
      <c r="F1156">
        <v>2400</v>
      </c>
      <c r="G1156">
        <v>440</v>
      </c>
      <c r="H1156" s="114">
        <v>39890</v>
      </c>
      <c r="I1156" s="114">
        <v>41400</v>
      </c>
      <c r="J1156" s="113"/>
    </row>
    <row r="1157" spans="4:10" x14ac:dyDescent="0.3">
      <c r="G1157">
        <v>600</v>
      </c>
      <c r="H1157" s="114">
        <v>44020</v>
      </c>
      <c r="I1157" s="114">
        <v>46040</v>
      </c>
      <c r="J1157" s="113"/>
    </row>
    <row r="1158" spans="4:10" x14ac:dyDescent="0.3">
      <c r="D1158" t="s">
        <v>279</v>
      </c>
      <c r="E1158">
        <v>1800</v>
      </c>
      <c r="F1158">
        <v>2200</v>
      </c>
      <c r="G1158" s="284">
        <v>440</v>
      </c>
      <c r="H1158" s="286">
        <v>27730</v>
      </c>
      <c r="I1158" s="286">
        <v>29050</v>
      </c>
      <c r="J1158" s="113"/>
    </row>
    <row r="1159" spans="4:10" x14ac:dyDescent="0.3">
      <c r="G1159" s="284">
        <v>600</v>
      </c>
      <c r="H1159" s="286">
        <v>30600</v>
      </c>
      <c r="I1159" s="286">
        <v>32250</v>
      </c>
      <c r="J1159" s="113"/>
    </row>
    <row r="1160" spans="4:10" x14ac:dyDescent="0.3">
      <c r="F1160">
        <v>2400</v>
      </c>
      <c r="G1160" s="284">
        <v>440</v>
      </c>
      <c r="H1160" s="286">
        <v>29550</v>
      </c>
      <c r="I1160" s="286">
        <v>30900</v>
      </c>
      <c r="J1160" s="113"/>
    </row>
    <row r="1161" spans="4:10" x14ac:dyDescent="0.3">
      <c r="G1161">
        <v>600</v>
      </c>
      <c r="H1161" s="114">
        <v>33320</v>
      </c>
      <c r="I1161" s="114">
        <v>35110</v>
      </c>
      <c r="J1161" s="113"/>
    </row>
    <row r="1162" spans="4:10" x14ac:dyDescent="0.3">
      <c r="E1162">
        <v>2100</v>
      </c>
      <c r="F1162">
        <v>2200</v>
      </c>
      <c r="G1162">
        <v>440</v>
      </c>
      <c r="H1162" s="114">
        <v>32560</v>
      </c>
      <c r="I1162" s="114">
        <v>33950</v>
      </c>
      <c r="J1162" s="113"/>
    </row>
    <row r="1163" spans="4:10" x14ac:dyDescent="0.3">
      <c r="G1163">
        <v>600</v>
      </c>
      <c r="H1163" s="114">
        <v>35430</v>
      </c>
      <c r="I1163" s="114">
        <v>37160</v>
      </c>
      <c r="J1163" s="113"/>
    </row>
    <row r="1164" spans="4:10" x14ac:dyDescent="0.3">
      <c r="F1164">
        <v>2400</v>
      </c>
      <c r="G1164">
        <v>440</v>
      </c>
      <c r="H1164" s="114">
        <v>34740</v>
      </c>
      <c r="I1164" s="114">
        <v>36160</v>
      </c>
      <c r="J1164" s="113"/>
    </row>
    <row r="1165" spans="4:10" x14ac:dyDescent="0.3">
      <c r="G1165">
        <v>600</v>
      </c>
      <c r="H1165" s="114">
        <v>38730</v>
      </c>
      <c r="I1165" s="114">
        <v>40630</v>
      </c>
      <c r="J1165" s="113"/>
    </row>
    <row r="1166" spans="4:10" x14ac:dyDescent="0.3">
      <c r="E1166">
        <v>2400</v>
      </c>
      <c r="F1166">
        <v>2200</v>
      </c>
      <c r="G1166">
        <v>440</v>
      </c>
      <c r="H1166" s="114">
        <v>37390</v>
      </c>
      <c r="I1166" s="114">
        <v>38870</v>
      </c>
      <c r="J1166" s="113"/>
    </row>
    <row r="1167" spans="4:10" x14ac:dyDescent="0.3">
      <c r="G1167">
        <v>600</v>
      </c>
      <c r="H1167" s="114">
        <v>40400</v>
      </c>
      <c r="I1167" s="114">
        <v>42250</v>
      </c>
      <c r="J1167" s="113"/>
    </row>
    <row r="1168" spans="4:10" x14ac:dyDescent="0.3">
      <c r="F1168">
        <v>2400</v>
      </c>
      <c r="G1168">
        <v>440</v>
      </c>
      <c r="H1168" s="114">
        <v>39890</v>
      </c>
      <c r="I1168" s="114">
        <v>41400</v>
      </c>
      <c r="J1168" s="113"/>
    </row>
    <row r="1169" spans="4:10" x14ac:dyDescent="0.3">
      <c r="G1169">
        <v>600</v>
      </c>
      <c r="H1169" s="114">
        <v>44020</v>
      </c>
      <c r="I1169" s="114">
        <v>46040</v>
      </c>
      <c r="J1169" s="113"/>
    </row>
    <row r="1170" spans="4:10" x14ac:dyDescent="0.3">
      <c r="D1170" t="s">
        <v>280</v>
      </c>
      <c r="E1170">
        <v>1800</v>
      </c>
      <c r="F1170">
        <v>2200</v>
      </c>
      <c r="G1170">
        <v>440</v>
      </c>
      <c r="H1170" s="114">
        <v>23080</v>
      </c>
      <c r="I1170" s="114">
        <v>24400</v>
      </c>
      <c r="J1170" s="113"/>
    </row>
    <row r="1171" spans="4:10" x14ac:dyDescent="0.3">
      <c r="G1171">
        <v>600</v>
      </c>
      <c r="H1171" s="114">
        <v>25950</v>
      </c>
      <c r="I1171" s="114">
        <v>27600</v>
      </c>
      <c r="J1171" s="113"/>
    </row>
    <row r="1172" spans="4:10" x14ac:dyDescent="0.3">
      <c r="F1172">
        <v>2400</v>
      </c>
      <c r="G1172">
        <v>440</v>
      </c>
      <c r="H1172" s="114">
        <v>24740</v>
      </c>
      <c r="I1172" s="114">
        <v>26090</v>
      </c>
      <c r="J1172" s="113"/>
    </row>
    <row r="1173" spans="4:10" x14ac:dyDescent="0.3">
      <c r="G1173">
        <v>600</v>
      </c>
      <c r="H1173" s="114">
        <v>28510</v>
      </c>
      <c r="I1173" s="114">
        <v>30300</v>
      </c>
      <c r="J1173" s="113"/>
    </row>
    <row r="1174" spans="4:10" x14ac:dyDescent="0.3">
      <c r="E1174">
        <v>2100</v>
      </c>
      <c r="F1174">
        <v>2200</v>
      </c>
      <c r="G1174">
        <v>440</v>
      </c>
      <c r="H1174" s="114">
        <v>26080</v>
      </c>
      <c r="I1174" s="114">
        <v>27470</v>
      </c>
      <c r="J1174" s="113"/>
    </row>
    <row r="1175" spans="4:10" x14ac:dyDescent="0.3">
      <c r="G1175">
        <v>600</v>
      </c>
      <c r="H1175" s="114">
        <v>28950</v>
      </c>
      <c r="I1175" s="114">
        <v>30680</v>
      </c>
      <c r="J1175" s="113"/>
    </row>
    <row r="1176" spans="4:10" x14ac:dyDescent="0.3">
      <c r="F1176">
        <v>2400</v>
      </c>
      <c r="G1176">
        <v>440</v>
      </c>
      <c r="H1176" s="114">
        <v>27700</v>
      </c>
      <c r="I1176" s="114">
        <v>29120</v>
      </c>
      <c r="J1176" s="113"/>
    </row>
    <row r="1177" spans="4:10" x14ac:dyDescent="0.3">
      <c r="G1177">
        <v>600</v>
      </c>
      <c r="H1177" s="114">
        <v>31690</v>
      </c>
      <c r="I1177" s="114">
        <v>33590</v>
      </c>
      <c r="J1177" s="113"/>
    </row>
    <row r="1178" spans="4:10" x14ac:dyDescent="0.3">
      <c r="E1178">
        <v>2400</v>
      </c>
      <c r="F1178">
        <v>2200</v>
      </c>
      <c r="G1178">
        <v>440</v>
      </c>
      <c r="H1178" s="114">
        <v>29580</v>
      </c>
      <c r="I1178" s="114">
        <v>31060</v>
      </c>
      <c r="J1178" s="113"/>
    </row>
    <row r="1179" spans="4:10" x14ac:dyDescent="0.3">
      <c r="G1179">
        <v>600</v>
      </c>
      <c r="H1179" s="114">
        <v>32590</v>
      </c>
      <c r="I1179" s="114">
        <v>34440</v>
      </c>
      <c r="J1179" s="113"/>
    </row>
    <row r="1180" spans="4:10" x14ac:dyDescent="0.3">
      <c r="F1180">
        <v>2400</v>
      </c>
      <c r="G1180">
        <v>440</v>
      </c>
      <c r="H1180" s="114">
        <v>31160</v>
      </c>
      <c r="I1180" s="114">
        <v>32670</v>
      </c>
      <c r="J1180" s="113"/>
    </row>
    <row r="1181" spans="4:10" x14ac:dyDescent="0.3">
      <c r="G1181">
        <v>600</v>
      </c>
      <c r="H1181" s="114">
        <v>35290</v>
      </c>
      <c r="I1181" s="114">
        <v>37310</v>
      </c>
      <c r="J1181" s="113"/>
    </row>
    <row r="1182" spans="4:10" x14ac:dyDescent="0.3">
      <c r="D1182" t="s">
        <v>945</v>
      </c>
      <c r="E1182">
        <v>1800</v>
      </c>
      <c r="F1182">
        <v>2200</v>
      </c>
      <c r="G1182">
        <v>440</v>
      </c>
      <c r="H1182" s="114">
        <v>21280</v>
      </c>
      <c r="I1182" s="114">
        <v>23360</v>
      </c>
      <c r="J1182" s="113"/>
    </row>
    <row r="1183" spans="4:10" x14ac:dyDescent="0.3">
      <c r="G1183">
        <v>600</v>
      </c>
      <c r="H1183" s="114">
        <v>24150</v>
      </c>
      <c r="I1183" s="114">
        <v>26560</v>
      </c>
      <c r="J1183" s="113"/>
    </row>
    <row r="1184" spans="4:10" x14ac:dyDescent="0.3">
      <c r="F1184">
        <v>2400</v>
      </c>
      <c r="G1184">
        <v>440</v>
      </c>
      <c r="H1184" s="114">
        <v>22640</v>
      </c>
      <c r="I1184" s="114">
        <v>24830</v>
      </c>
      <c r="J1184" s="113"/>
    </row>
    <row r="1185" spans="4:10" x14ac:dyDescent="0.3">
      <c r="G1185">
        <v>600</v>
      </c>
      <c r="H1185" s="114">
        <v>26410</v>
      </c>
      <c r="I1185" s="114">
        <v>29040</v>
      </c>
      <c r="J1185" s="113"/>
    </row>
    <row r="1186" spans="4:10" x14ac:dyDescent="0.3">
      <c r="E1186">
        <v>2100</v>
      </c>
      <c r="F1186">
        <v>2200</v>
      </c>
      <c r="G1186">
        <v>440</v>
      </c>
      <c r="H1186" s="114">
        <v>24580</v>
      </c>
      <c r="I1186" s="114">
        <v>26930</v>
      </c>
      <c r="J1186" s="113"/>
    </row>
    <row r="1187" spans="4:10" x14ac:dyDescent="0.3">
      <c r="G1187">
        <v>600</v>
      </c>
      <c r="H1187" s="114">
        <v>27450</v>
      </c>
      <c r="I1187" s="114">
        <v>30140</v>
      </c>
      <c r="J1187" s="113"/>
    </row>
    <row r="1188" spans="4:10" x14ac:dyDescent="0.3">
      <c r="F1188">
        <v>2400</v>
      </c>
      <c r="G1188">
        <v>440</v>
      </c>
      <c r="H1188" s="114">
        <v>26180</v>
      </c>
      <c r="I1188" s="114">
        <v>28700</v>
      </c>
      <c r="J1188" s="113"/>
    </row>
    <row r="1189" spans="4:10" x14ac:dyDescent="0.3">
      <c r="G1189">
        <v>600</v>
      </c>
      <c r="H1189" s="114">
        <v>30170</v>
      </c>
      <c r="I1189" s="114">
        <v>33170</v>
      </c>
      <c r="J1189" s="113"/>
    </row>
    <row r="1190" spans="4:10" x14ac:dyDescent="0.3">
      <c r="E1190">
        <v>2400</v>
      </c>
      <c r="F1190">
        <v>2200</v>
      </c>
      <c r="G1190">
        <v>440</v>
      </c>
      <c r="H1190" s="114">
        <v>27760</v>
      </c>
      <c r="I1190" s="114">
        <v>30420</v>
      </c>
      <c r="J1190" s="113"/>
    </row>
    <row r="1191" spans="4:10" x14ac:dyDescent="0.3">
      <c r="G1191">
        <v>600</v>
      </c>
      <c r="H1191" s="114">
        <v>30770</v>
      </c>
      <c r="I1191" s="114">
        <v>33800</v>
      </c>
      <c r="J1191" s="113"/>
    </row>
    <row r="1192" spans="4:10" x14ac:dyDescent="0.3">
      <c r="F1192">
        <v>2400</v>
      </c>
      <c r="G1192">
        <v>440</v>
      </c>
      <c r="H1192" s="114">
        <v>29360</v>
      </c>
      <c r="I1192" s="114">
        <v>32130</v>
      </c>
      <c r="J1192" s="113"/>
    </row>
    <row r="1193" spans="4:10" x14ac:dyDescent="0.3">
      <c r="G1193">
        <v>600</v>
      </c>
      <c r="H1193" s="114">
        <v>33490</v>
      </c>
      <c r="I1193" s="114">
        <v>36770</v>
      </c>
      <c r="J1193" s="113"/>
    </row>
    <row r="1194" spans="4:10" x14ac:dyDescent="0.3">
      <c r="D1194" t="s">
        <v>946</v>
      </c>
      <c r="E1194">
        <v>1800</v>
      </c>
      <c r="F1194">
        <v>2200</v>
      </c>
      <c r="G1194">
        <v>440</v>
      </c>
      <c r="H1194" s="114">
        <v>23080</v>
      </c>
      <c r="I1194" s="114">
        <v>24400</v>
      </c>
      <c r="J1194" s="113"/>
    </row>
    <row r="1195" spans="4:10" x14ac:dyDescent="0.3">
      <c r="G1195">
        <v>600</v>
      </c>
      <c r="H1195" s="114">
        <v>25950</v>
      </c>
      <c r="I1195" s="114">
        <v>27600</v>
      </c>
      <c r="J1195" s="113"/>
    </row>
    <row r="1196" spans="4:10" x14ac:dyDescent="0.3">
      <c r="F1196">
        <v>2400</v>
      </c>
      <c r="G1196">
        <v>440</v>
      </c>
      <c r="H1196" s="114">
        <v>24740</v>
      </c>
      <c r="I1196" s="114">
        <v>26090</v>
      </c>
      <c r="J1196" s="113"/>
    </row>
    <row r="1197" spans="4:10" x14ac:dyDescent="0.3">
      <c r="G1197">
        <v>600</v>
      </c>
      <c r="H1197" s="114">
        <v>28510</v>
      </c>
      <c r="I1197" s="114">
        <v>30300</v>
      </c>
      <c r="J1197" s="113"/>
    </row>
    <row r="1198" spans="4:10" x14ac:dyDescent="0.3">
      <c r="E1198">
        <v>2100</v>
      </c>
      <c r="F1198">
        <v>2200</v>
      </c>
      <c r="G1198">
        <v>440</v>
      </c>
      <c r="H1198" s="114">
        <v>26080</v>
      </c>
      <c r="I1198" s="114">
        <v>27470</v>
      </c>
      <c r="J1198" s="113"/>
    </row>
    <row r="1199" spans="4:10" x14ac:dyDescent="0.3">
      <c r="G1199">
        <v>600</v>
      </c>
      <c r="H1199" s="114">
        <v>28950</v>
      </c>
      <c r="I1199" s="114">
        <v>30680</v>
      </c>
      <c r="J1199" s="113"/>
    </row>
    <row r="1200" spans="4:10" x14ac:dyDescent="0.3">
      <c r="F1200">
        <v>2400</v>
      </c>
      <c r="G1200">
        <v>440</v>
      </c>
      <c r="H1200" s="114">
        <v>27700</v>
      </c>
      <c r="I1200" s="114">
        <v>29120</v>
      </c>
      <c r="J1200" s="113"/>
    </row>
    <row r="1201" spans="4:10" x14ac:dyDescent="0.3">
      <c r="G1201">
        <v>600</v>
      </c>
      <c r="H1201" s="114">
        <v>31690</v>
      </c>
      <c r="I1201" s="114">
        <v>33590</v>
      </c>
      <c r="J1201" s="113"/>
    </row>
    <row r="1202" spans="4:10" x14ac:dyDescent="0.3">
      <c r="E1202">
        <v>2400</v>
      </c>
      <c r="F1202">
        <v>2200</v>
      </c>
      <c r="G1202">
        <v>440</v>
      </c>
      <c r="H1202" s="114">
        <v>29580</v>
      </c>
      <c r="I1202" s="114">
        <v>31060</v>
      </c>
      <c r="J1202" s="113"/>
    </row>
    <row r="1203" spans="4:10" x14ac:dyDescent="0.3">
      <c r="G1203">
        <v>600</v>
      </c>
      <c r="H1203" s="114">
        <v>32590</v>
      </c>
      <c r="I1203" s="114">
        <v>34440</v>
      </c>
      <c r="J1203" s="113"/>
    </row>
    <row r="1204" spans="4:10" x14ac:dyDescent="0.3">
      <c r="F1204">
        <v>2400</v>
      </c>
      <c r="G1204">
        <v>440</v>
      </c>
      <c r="H1204" s="114">
        <v>31160</v>
      </c>
      <c r="I1204" s="114">
        <v>32670</v>
      </c>
      <c r="J1204" s="113"/>
    </row>
    <row r="1205" spans="4:10" x14ac:dyDescent="0.3">
      <c r="G1205">
        <v>600</v>
      </c>
      <c r="H1205" s="114">
        <v>35290</v>
      </c>
      <c r="I1205" s="114">
        <v>37310</v>
      </c>
      <c r="J1205" s="113"/>
    </row>
    <row r="1206" spans="4:10" x14ac:dyDescent="0.3">
      <c r="D1206" t="s">
        <v>947</v>
      </c>
      <c r="E1206">
        <v>1800</v>
      </c>
      <c r="F1206">
        <v>2200</v>
      </c>
      <c r="G1206">
        <v>440</v>
      </c>
      <c r="H1206" s="114">
        <v>22180</v>
      </c>
      <c r="I1206" s="114">
        <v>23880</v>
      </c>
      <c r="J1206" s="113"/>
    </row>
    <row r="1207" spans="4:10" x14ac:dyDescent="0.3">
      <c r="G1207">
        <v>600</v>
      </c>
      <c r="H1207" s="114">
        <v>25050</v>
      </c>
      <c r="I1207" s="114">
        <v>27080</v>
      </c>
      <c r="J1207" s="113"/>
    </row>
    <row r="1208" spans="4:10" x14ac:dyDescent="0.3">
      <c r="F1208">
        <v>2400</v>
      </c>
      <c r="G1208">
        <v>440</v>
      </c>
      <c r="H1208" s="114">
        <v>23690</v>
      </c>
      <c r="I1208" s="114">
        <v>25460</v>
      </c>
      <c r="J1208" s="113"/>
    </row>
    <row r="1209" spans="4:10" x14ac:dyDescent="0.3">
      <c r="G1209">
        <v>600</v>
      </c>
      <c r="H1209" s="114">
        <v>27460</v>
      </c>
      <c r="I1209" s="114">
        <v>29670</v>
      </c>
      <c r="J1209" s="113"/>
    </row>
    <row r="1210" spans="4:10" x14ac:dyDescent="0.3">
      <c r="E1210">
        <v>2100</v>
      </c>
      <c r="F1210">
        <v>2200</v>
      </c>
      <c r="G1210">
        <v>440</v>
      </c>
      <c r="H1210" s="114">
        <v>25330</v>
      </c>
      <c r="I1210" s="114">
        <v>27200</v>
      </c>
      <c r="J1210" s="113"/>
    </row>
    <row r="1211" spans="4:10" x14ac:dyDescent="0.3">
      <c r="G1211">
        <v>600</v>
      </c>
      <c r="H1211" s="114">
        <v>28200</v>
      </c>
      <c r="I1211" s="114">
        <v>30410</v>
      </c>
      <c r="J1211" s="113"/>
    </row>
    <row r="1212" spans="4:10" x14ac:dyDescent="0.3">
      <c r="F1212">
        <v>2400</v>
      </c>
      <c r="G1212">
        <v>440</v>
      </c>
      <c r="H1212" s="114">
        <v>26940</v>
      </c>
      <c r="I1212" s="114">
        <v>28910</v>
      </c>
      <c r="J1212" s="113"/>
    </row>
    <row r="1213" spans="4:10" x14ac:dyDescent="0.3">
      <c r="G1213">
        <v>600</v>
      </c>
      <c r="H1213" s="114">
        <v>30930</v>
      </c>
      <c r="I1213" s="114">
        <v>33380</v>
      </c>
      <c r="J1213" s="113"/>
    </row>
    <row r="1214" spans="4:10" x14ac:dyDescent="0.3">
      <c r="E1214">
        <v>2400</v>
      </c>
      <c r="F1214">
        <v>2200</v>
      </c>
      <c r="G1214">
        <v>440</v>
      </c>
      <c r="H1214" s="114">
        <v>28670</v>
      </c>
      <c r="I1214" s="114">
        <v>30740</v>
      </c>
      <c r="J1214" s="113"/>
    </row>
    <row r="1215" spans="4:10" x14ac:dyDescent="0.3">
      <c r="G1215">
        <v>600</v>
      </c>
      <c r="H1215" s="114">
        <v>31680</v>
      </c>
      <c r="I1215" s="114">
        <v>34120</v>
      </c>
      <c r="J1215" s="113"/>
    </row>
    <row r="1216" spans="4:10" x14ac:dyDescent="0.3">
      <c r="F1216">
        <v>2400</v>
      </c>
      <c r="G1216">
        <v>440</v>
      </c>
      <c r="H1216" s="114">
        <v>30260</v>
      </c>
      <c r="I1216" s="114">
        <v>32400</v>
      </c>
      <c r="J1216" s="113"/>
    </row>
    <row r="1217" spans="4:10" x14ac:dyDescent="0.3">
      <c r="G1217">
        <v>600</v>
      </c>
      <c r="H1217" s="114">
        <v>34390</v>
      </c>
      <c r="I1217" s="114">
        <v>37040</v>
      </c>
      <c r="J1217" s="113"/>
    </row>
    <row r="1218" spans="4:10" x14ac:dyDescent="0.3">
      <c r="D1218" t="s">
        <v>948</v>
      </c>
      <c r="E1218">
        <v>1800</v>
      </c>
      <c r="F1218">
        <v>2200</v>
      </c>
      <c r="G1218">
        <v>440</v>
      </c>
      <c r="H1218" s="114">
        <v>20380</v>
      </c>
      <c r="I1218" s="114">
        <v>22840</v>
      </c>
      <c r="J1218" s="113"/>
    </row>
    <row r="1219" spans="4:10" x14ac:dyDescent="0.3">
      <c r="G1219">
        <v>600</v>
      </c>
      <c r="H1219" s="114">
        <v>23250</v>
      </c>
      <c r="I1219" s="114">
        <v>26040</v>
      </c>
      <c r="J1219" s="113"/>
    </row>
    <row r="1220" spans="4:10" x14ac:dyDescent="0.3">
      <c r="F1220">
        <v>2400</v>
      </c>
      <c r="G1220">
        <v>440</v>
      </c>
      <c r="H1220" s="114">
        <v>21590</v>
      </c>
      <c r="I1220" s="114">
        <v>24200</v>
      </c>
      <c r="J1220" s="113"/>
    </row>
    <row r="1221" spans="4:10" x14ac:dyDescent="0.3">
      <c r="G1221">
        <v>600</v>
      </c>
      <c r="H1221" s="114">
        <v>25360</v>
      </c>
      <c r="I1221" s="114">
        <v>28410</v>
      </c>
      <c r="J1221" s="113"/>
    </row>
    <row r="1222" spans="4:10" x14ac:dyDescent="0.3">
      <c r="E1222">
        <v>2100</v>
      </c>
      <c r="F1222">
        <v>2200</v>
      </c>
      <c r="G1222">
        <v>440</v>
      </c>
      <c r="H1222" s="114">
        <v>23830</v>
      </c>
      <c r="I1222" s="114">
        <v>26660</v>
      </c>
      <c r="J1222" s="113"/>
    </row>
    <row r="1223" spans="4:10" x14ac:dyDescent="0.3">
      <c r="G1223">
        <v>600</v>
      </c>
      <c r="H1223" s="114">
        <v>26700</v>
      </c>
      <c r="I1223" s="114">
        <v>29870</v>
      </c>
      <c r="J1223" s="113"/>
    </row>
    <row r="1224" spans="4:10" x14ac:dyDescent="0.3">
      <c r="F1224">
        <v>2400</v>
      </c>
      <c r="G1224">
        <v>440</v>
      </c>
      <c r="H1224" s="114">
        <v>25420</v>
      </c>
      <c r="I1224" s="114">
        <v>28490</v>
      </c>
      <c r="J1224" s="113"/>
    </row>
    <row r="1225" spans="4:10" x14ac:dyDescent="0.3">
      <c r="G1225">
        <v>600</v>
      </c>
      <c r="H1225" s="114">
        <v>29410</v>
      </c>
      <c r="I1225" s="114">
        <v>32960</v>
      </c>
      <c r="J1225" s="113"/>
    </row>
    <row r="1226" spans="4:10" x14ac:dyDescent="0.3">
      <c r="E1226">
        <v>2400</v>
      </c>
      <c r="F1226">
        <v>2200</v>
      </c>
      <c r="G1226">
        <v>440</v>
      </c>
      <c r="H1226" s="114">
        <v>26850</v>
      </c>
      <c r="I1226" s="114">
        <v>30100</v>
      </c>
      <c r="J1226" s="113"/>
    </row>
    <row r="1227" spans="4:10" x14ac:dyDescent="0.3">
      <c r="G1227">
        <v>600</v>
      </c>
      <c r="H1227" s="114">
        <v>29860</v>
      </c>
      <c r="I1227" s="114">
        <v>33480</v>
      </c>
      <c r="J1227" s="113"/>
    </row>
    <row r="1228" spans="4:10" x14ac:dyDescent="0.3">
      <c r="F1228">
        <v>2400</v>
      </c>
      <c r="G1228">
        <v>440</v>
      </c>
      <c r="H1228" s="114">
        <v>28460</v>
      </c>
      <c r="I1228" s="114">
        <v>31860</v>
      </c>
      <c r="J1228" s="113"/>
    </row>
    <row r="1229" spans="4:10" x14ac:dyDescent="0.3">
      <c r="G1229">
        <v>600</v>
      </c>
      <c r="H1229" s="114">
        <v>32590</v>
      </c>
      <c r="I1229" s="114">
        <v>36500</v>
      </c>
      <c r="J1229" s="113"/>
    </row>
    <row r="1230" spans="4:10" x14ac:dyDescent="0.3">
      <c r="D1230" t="s">
        <v>1025</v>
      </c>
      <c r="E1230">
        <v>2200</v>
      </c>
      <c r="F1230">
        <v>600</v>
      </c>
      <c r="G1230">
        <v>1800</v>
      </c>
      <c r="H1230" s="114">
        <v>30600</v>
      </c>
      <c r="I1230" s="114">
        <v>32250</v>
      </c>
      <c r="J1230" s="113"/>
    </row>
    <row r="1231" spans="4:10" x14ac:dyDescent="0.3">
      <c r="G1231">
        <v>2100</v>
      </c>
      <c r="H1231" s="114">
        <v>35430</v>
      </c>
      <c r="I1231" s="114">
        <v>37160</v>
      </c>
      <c r="J1231" s="113"/>
    </row>
    <row r="1232" spans="4:10" x14ac:dyDescent="0.3">
      <c r="G1232">
        <v>2400</v>
      </c>
      <c r="H1232" s="114">
        <v>40400</v>
      </c>
      <c r="I1232" s="114">
        <v>42250</v>
      </c>
      <c r="J1232" s="113"/>
    </row>
    <row r="1233" spans="4:10" x14ac:dyDescent="0.3">
      <c r="F1233">
        <v>440</v>
      </c>
      <c r="G1233">
        <v>1800</v>
      </c>
      <c r="H1233" s="114">
        <v>27730</v>
      </c>
      <c r="I1233" s="114">
        <v>29050</v>
      </c>
      <c r="J1233" s="113"/>
    </row>
    <row r="1234" spans="4:10" x14ac:dyDescent="0.3">
      <c r="G1234">
        <v>2100</v>
      </c>
      <c r="H1234" s="114">
        <v>32560</v>
      </c>
      <c r="I1234" s="114">
        <v>33950</v>
      </c>
      <c r="J1234" s="113"/>
    </row>
    <row r="1235" spans="4:10" x14ac:dyDescent="0.3">
      <c r="G1235">
        <v>2400</v>
      </c>
      <c r="H1235" s="114">
        <v>37390</v>
      </c>
      <c r="I1235" s="114">
        <v>38870</v>
      </c>
      <c r="J1235" s="113"/>
    </row>
    <row r="1236" spans="4:10" x14ac:dyDescent="0.3">
      <c r="E1236">
        <v>2400</v>
      </c>
      <c r="F1236">
        <v>600</v>
      </c>
      <c r="G1236">
        <v>1800</v>
      </c>
      <c r="H1236" s="114">
        <v>33320</v>
      </c>
      <c r="I1236" s="114">
        <v>35110</v>
      </c>
      <c r="J1236" s="113"/>
    </row>
    <row r="1237" spans="4:10" x14ac:dyDescent="0.3">
      <c r="G1237">
        <v>2100</v>
      </c>
      <c r="H1237" s="114">
        <v>38730</v>
      </c>
      <c r="I1237" s="114">
        <v>40630</v>
      </c>
      <c r="J1237" s="113"/>
    </row>
    <row r="1238" spans="4:10" x14ac:dyDescent="0.3">
      <c r="G1238">
        <v>2400</v>
      </c>
      <c r="H1238" s="114">
        <v>44020</v>
      </c>
      <c r="I1238" s="114">
        <v>46040</v>
      </c>
      <c r="J1238" s="113"/>
    </row>
    <row r="1239" spans="4:10" x14ac:dyDescent="0.3">
      <c r="F1239">
        <v>440</v>
      </c>
      <c r="G1239">
        <v>1800</v>
      </c>
      <c r="H1239" s="114">
        <v>29550</v>
      </c>
      <c r="I1239" s="114">
        <v>30900</v>
      </c>
      <c r="J1239" s="113"/>
    </row>
    <row r="1240" spans="4:10" x14ac:dyDescent="0.3">
      <c r="G1240">
        <v>2100</v>
      </c>
      <c r="H1240" s="114">
        <v>34740</v>
      </c>
      <c r="I1240" s="114">
        <v>36160</v>
      </c>
      <c r="J1240" s="113"/>
    </row>
    <row r="1241" spans="4:10" x14ac:dyDescent="0.3">
      <c r="G1241">
        <v>2400</v>
      </c>
      <c r="H1241" s="114">
        <v>39890</v>
      </c>
      <c r="I1241" s="114">
        <v>41400</v>
      </c>
      <c r="J1241" s="113"/>
    </row>
    <row r="1242" spans="4:10" x14ac:dyDescent="0.3">
      <c r="D1242" t="s">
        <v>1026</v>
      </c>
      <c r="E1242">
        <v>2200</v>
      </c>
      <c r="F1242">
        <v>600</v>
      </c>
      <c r="G1242">
        <v>1800</v>
      </c>
      <c r="H1242" s="114">
        <v>30600</v>
      </c>
      <c r="I1242" s="114">
        <v>32250</v>
      </c>
      <c r="J1242" s="113"/>
    </row>
    <row r="1243" spans="4:10" x14ac:dyDescent="0.3">
      <c r="G1243">
        <v>2100</v>
      </c>
      <c r="H1243" s="114">
        <v>35430</v>
      </c>
      <c r="I1243" s="114">
        <v>37160</v>
      </c>
      <c r="J1243" s="113"/>
    </row>
    <row r="1244" spans="4:10" x14ac:dyDescent="0.3">
      <c r="G1244">
        <v>2400</v>
      </c>
      <c r="H1244" s="114">
        <v>40400</v>
      </c>
      <c r="I1244" s="114">
        <v>42250</v>
      </c>
      <c r="J1244" s="113"/>
    </row>
    <row r="1245" spans="4:10" x14ac:dyDescent="0.3">
      <c r="F1245">
        <v>440</v>
      </c>
      <c r="G1245">
        <v>1800</v>
      </c>
      <c r="H1245" s="114">
        <v>27730</v>
      </c>
      <c r="I1245" s="114">
        <v>29050</v>
      </c>
      <c r="J1245" s="113"/>
    </row>
    <row r="1246" spans="4:10" x14ac:dyDescent="0.3">
      <c r="G1246">
        <v>2100</v>
      </c>
      <c r="H1246" s="114">
        <v>32560</v>
      </c>
      <c r="I1246" s="114">
        <v>33950</v>
      </c>
      <c r="J1246" s="113"/>
    </row>
    <row r="1247" spans="4:10" x14ac:dyDescent="0.3">
      <c r="G1247">
        <v>2400</v>
      </c>
      <c r="H1247" s="114">
        <v>37390</v>
      </c>
      <c r="I1247" s="114">
        <v>38870</v>
      </c>
      <c r="J1247" s="113"/>
    </row>
    <row r="1248" spans="4:10" x14ac:dyDescent="0.3">
      <c r="E1248">
        <v>2400</v>
      </c>
      <c r="F1248">
        <v>600</v>
      </c>
      <c r="G1248">
        <v>1800</v>
      </c>
      <c r="H1248" s="114">
        <v>33320</v>
      </c>
      <c r="I1248" s="114">
        <v>35110</v>
      </c>
      <c r="J1248" s="113"/>
    </row>
    <row r="1249" spans="4:10" x14ac:dyDescent="0.3">
      <c r="G1249">
        <v>2100</v>
      </c>
      <c r="H1249" s="114">
        <v>38730</v>
      </c>
      <c r="I1249" s="114">
        <v>40630</v>
      </c>
      <c r="J1249" s="113"/>
    </row>
    <row r="1250" spans="4:10" x14ac:dyDescent="0.3">
      <c r="G1250">
        <v>2400</v>
      </c>
      <c r="H1250" s="114">
        <v>44020</v>
      </c>
      <c r="I1250" s="114">
        <v>46040</v>
      </c>
      <c r="J1250" s="113"/>
    </row>
    <row r="1251" spans="4:10" x14ac:dyDescent="0.3">
      <c r="F1251">
        <v>440</v>
      </c>
      <c r="G1251">
        <v>1800</v>
      </c>
      <c r="H1251" s="114">
        <v>29550</v>
      </c>
      <c r="I1251" s="114">
        <v>30900</v>
      </c>
      <c r="J1251" s="113"/>
    </row>
    <row r="1252" spans="4:10" x14ac:dyDescent="0.3">
      <c r="G1252">
        <v>2100</v>
      </c>
      <c r="H1252" s="114">
        <v>34740</v>
      </c>
      <c r="I1252" s="114">
        <v>36160</v>
      </c>
      <c r="J1252" s="113"/>
    </row>
    <row r="1253" spans="4:10" x14ac:dyDescent="0.3">
      <c r="G1253">
        <v>2400</v>
      </c>
      <c r="H1253" s="114">
        <v>39890</v>
      </c>
      <c r="I1253" s="114">
        <v>41400</v>
      </c>
      <c r="J1253" s="113"/>
    </row>
    <row r="1254" spans="4:10" x14ac:dyDescent="0.3">
      <c r="D1254" t="s">
        <v>1027</v>
      </c>
      <c r="E1254">
        <v>2200</v>
      </c>
      <c r="F1254">
        <v>600</v>
      </c>
      <c r="G1254">
        <v>1800</v>
      </c>
      <c r="H1254" s="114">
        <v>30600</v>
      </c>
      <c r="I1254" s="114">
        <v>32250</v>
      </c>
      <c r="J1254" s="113"/>
    </row>
    <row r="1255" spans="4:10" x14ac:dyDescent="0.3">
      <c r="G1255">
        <v>2100</v>
      </c>
      <c r="H1255" s="114">
        <v>35430</v>
      </c>
      <c r="I1255" s="114">
        <v>37160</v>
      </c>
      <c r="J1255" s="113"/>
    </row>
    <row r="1256" spans="4:10" x14ac:dyDescent="0.3">
      <c r="G1256">
        <v>2400</v>
      </c>
      <c r="H1256" s="114">
        <v>40400</v>
      </c>
      <c r="I1256" s="114">
        <v>42250</v>
      </c>
      <c r="J1256" s="113"/>
    </row>
    <row r="1257" spans="4:10" x14ac:dyDescent="0.3">
      <c r="F1257">
        <v>440</v>
      </c>
      <c r="G1257">
        <v>1800</v>
      </c>
      <c r="H1257" s="114">
        <v>27730</v>
      </c>
      <c r="I1257" s="114">
        <v>29050</v>
      </c>
      <c r="J1257" s="113"/>
    </row>
    <row r="1258" spans="4:10" x14ac:dyDescent="0.3">
      <c r="G1258">
        <v>2100</v>
      </c>
      <c r="H1258" s="114">
        <v>32560</v>
      </c>
      <c r="I1258" s="114">
        <v>33950</v>
      </c>
      <c r="J1258" s="113"/>
    </row>
    <row r="1259" spans="4:10" x14ac:dyDescent="0.3">
      <c r="G1259">
        <v>2400</v>
      </c>
      <c r="H1259" s="114">
        <v>37390</v>
      </c>
      <c r="I1259" s="114">
        <v>38870</v>
      </c>
      <c r="J1259" s="113"/>
    </row>
    <row r="1260" spans="4:10" x14ac:dyDescent="0.3">
      <c r="E1260">
        <v>2400</v>
      </c>
      <c r="F1260">
        <v>600</v>
      </c>
      <c r="G1260">
        <v>1800</v>
      </c>
      <c r="H1260" s="114">
        <v>33320</v>
      </c>
      <c r="I1260" s="114">
        <v>35110</v>
      </c>
      <c r="J1260" s="113"/>
    </row>
    <row r="1261" spans="4:10" x14ac:dyDescent="0.3">
      <c r="G1261">
        <v>2100</v>
      </c>
      <c r="H1261" s="114">
        <v>38730</v>
      </c>
      <c r="I1261" s="114">
        <v>40630</v>
      </c>
      <c r="J1261" s="113"/>
    </row>
    <row r="1262" spans="4:10" x14ac:dyDescent="0.3">
      <c r="G1262">
        <v>2400</v>
      </c>
      <c r="H1262" s="114">
        <v>44020</v>
      </c>
      <c r="I1262" s="114">
        <v>46040</v>
      </c>
      <c r="J1262" s="113"/>
    </row>
    <row r="1263" spans="4:10" x14ac:dyDescent="0.3">
      <c r="F1263">
        <v>440</v>
      </c>
      <c r="G1263">
        <v>1800</v>
      </c>
      <c r="H1263" s="114">
        <v>29550</v>
      </c>
      <c r="I1263" s="114">
        <v>30900</v>
      </c>
      <c r="J1263" s="113"/>
    </row>
    <row r="1264" spans="4:10" x14ac:dyDescent="0.3">
      <c r="G1264">
        <v>2100</v>
      </c>
      <c r="H1264" s="114">
        <v>34740</v>
      </c>
      <c r="I1264" s="114">
        <v>36160</v>
      </c>
      <c r="J1264" s="113"/>
    </row>
    <row r="1265" spans="4:10" x14ac:dyDescent="0.3">
      <c r="G1265">
        <v>2400</v>
      </c>
      <c r="H1265" s="114">
        <v>39890</v>
      </c>
      <c r="I1265" s="114">
        <v>41400</v>
      </c>
      <c r="J1265" s="113"/>
    </row>
    <row r="1266" spans="4:10" x14ac:dyDescent="0.3">
      <c r="D1266" t="s">
        <v>1028</v>
      </c>
      <c r="E1266">
        <v>2200</v>
      </c>
      <c r="F1266">
        <v>600</v>
      </c>
      <c r="G1266">
        <v>1800</v>
      </c>
      <c r="H1266" s="114">
        <v>30600</v>
      </c>
      <c r="I1266" s="114">
        <v>32250</v>
      </c>
      <c r="J1266" s="113"/>
    </row>
    <row r="1267" spans="4:10" x14ac:dyDescent="0.3">
      <c r="G1267">
        <v>2100</v>
      </c>
      <c r="H1267" s="114">
        <v>35430</v>
      </c>
      <c r="I1267" s="114">
        <v>37160</v>
      </c>
      <c r="J1267" s="113"/>
    </row>
    <row r="1268" spans="4:10" x14ac:dyDescent="0.3">
      <c r="G1268">
        <v>2400</v>
      </c>
      <c r="H1268" s="114">
        <v>40400</v>
      </c>
      <c r="I1268" s="114">
        <v>42250</v>
      </c>
      <c r="J1268" s="113"/>
    </row>
    <row r="1269" spans="4:10" x14ac:dyDescent="0.3">
      <c r="F1269">
        <v>440</v>
      </c>
      <c r="G1269">
        <v>1800</v>
      </c>
      <c r="H1269" s="114">
        <v>27730</v>
      </c>
      <c r="I1269" s="114">
        <v>29050</v>
      </c>
      <c r="J1269" s="113"/>
    </row>
    <row r="1270" spans="4:10" x14ac:dyDescent="0.3">
      <c r="G1270">
        <v>2100</v>
      </c>
      <c r="H1270" s="114">
        <v>32560</v>
      </c>
      <c r="I1270" s="114">
        <v>33950</v>
      </c>
      <c r="J1270" s="113"/>
    </row>
    <row r="1271" spans="4:10" x14ac:dyDescent="0.3">
      <c r="G1271">
        <v>2400</v>
      </c>
      <c r="H1271" s="114">
        <v>37390</v>
      </c>
      <c r="I1271" s="114">
        <v>38870</v>
      </c>
      <c r="J1271" s="113"/>
    </row>
    <row r="1272" spans="4:10" x14ac:dyDescent="0.3">
      <c r="E1272">
        <v>2400</v>
      </c>
      <c r="F1272">
        <v>600</v>
      </c>
      <c r="G1272">
        <v>1800</v>
      </c>
      <c r="H1272" s="114">
        <v>33320</v>
      </c>
      <c r="I1272" s="114">
        <v>35110</v>
      </c>
      <c r="J1272" s="113"/>
    </row>
    <row r="1273" spans="4:10" x14ac:dyDescent="0.3">
      <c r="G1273">
        <v>2100</v>
      </c>
      <c r="H1273" s="114">
        <v>38730</v>
      </c>
      <c r="I1273" s="114">
        <v>40630</v>
      </c>
      <c r="J1273" s="113"/>
    </row>
    <row r="1274" spans="4:10" x14ac:dyDescent="0.3">
      <c r="G1274">
        <v>2400</v>
      </c>
      <c r="H1274" s="114">
        <v>44020</v>
      </c>
      <c r="I1274" s="114">
        <v>46040</v>
      </c>
      <c r="J1274" s="113"/>
    </row>
    <row r="1275" spans="4:10" x14ac:dyDescent="0.3">
      <c r="F1275">
        <v>440</v>
      </c>
      <c r="G1275">
        <v>1800</v>
      </c>
      <c r="H1275" s="114">
        <v>29550</v>
      </c>
      <c r="I1275" s="114">
        <v>30900</v>
      </c>
      <c r="J1275" s="113"/>
    </row>
    <row r="1276" spans="4:10" x14ac:dyDescent="0.3">
      <c r="G1276">
        <v>2100</v>
      </c>
      <c r="H1276" s="114">
        <v>34740</v>
      </c>
      <c r="I1276" s="114">
        <v>36160</v>
      </c>
      <c r="J1276" s="113"/>
    </row>
    <row r="1277" spans="4:10" x14ac:dyDescent="0.3">
      <c r="G1277">
        <v>2400</v>
      </c>
      <c r="H1277" s="114">
        <v>39890</v>
      </c>
      <c r="I1277" s="114">
        <v>41400</v>
      </c>
      <c r="J1277" s="113"/>
    </row>
    <row r="1278" spans="4:10" x14ac:dyDescent="0.3">
      <c r="D1278" t="s">
        <v>1029</v>
      </c>
      <c r="E1278">
        <v>2200</v>
      </c>
      <c r="F1278">
        <v>600</v>
      </c>
      <c r="G1278">
        <v>1800</v>
      </c>
      <c r="H1278" s="114">
        <v>30600</v>
      </c>
      <c r="I1278" s="114">
        <v>32250</v>
      </c>
      <c r="J1278" s="113"/>
    </row>
    <row r="1279" spans="4:10" x14ac:dyDescent="0.3">
      <c r="G1279">
        <v>2100</v>
      </c>
      <c r="H1279" s="114">
        <v>35430</v>
      </c>
      <c r="I1279" s="114">
        <v>37160</v>
      </c>
      <c r="J1279" s="113"/>
    </row>
    <row r="1280" spans="4:10" x14ac:dyDescent="0.3">
      <c r="G1280">
        <v>2400</v>
      </c>
      <c r="H1280" s="114">
        <v>40400</v>
      </c>
      <c r="I1280" s="114">
        <v>42250</v>
      </c>
      <c r="J1280" s="113"/>
    </row>
    <row r="1281" spans="4:10" x14ac:dyDescent="0.3">
      <c r="F1281">
        <v>440</v>
      </c>
      <c r="G1281">
        <v>1800</v>
      </c>
      <c r="H1281" s="114">
        <v>27730</v>
      </c>
      <c r="I1281" s="114">
        <v>29050</v>
      </c>
      <c r="J1281" s="113"/>
    </row>
    <row r="1282" spans="4:10" x14ac:dyDescent="0.3">
      <c r="G1282">
        <v>2100</v>
      </c>
      <c r="H1282" s="114">
        <v>32560</v>
      </c>
      <c r="I1282" s="114">
        <v>33950</v>
      </c>
      <c r="J1282" s="113"/>
    </row>
    <row r="1283" spans="4:10" x14ac:dyDescent="0.3">
      <c r="G1283">
        <v>2400</v>
      </c>
      <c r="H1283" s="114">
        <v>37390</v>
      </c>
      <c r="I1283" s="114">
        <v>38870</v>
      </c>
      <c r="J1283" s="113"/>
    </row>
    <row r="1284" spans="4:10" x14ac:dyDescent="0.3">
      <c r="E1284">
        <v>2400</v>
      </c>
      <c r="F1284">
        <v>600</v>
      </c>
      <c r="G1284">
        <v>1800</v>
      </c>
      <c r="H1284" s="114">
        <v>33320</v>
      </c>
      <c r="I1284" s="114">
        <v>35110</v>
      </c>
      <c r="J1284" s="113"/>
    </row>
    <row r="1285" spans="4:10" x14ac:dyDescent="0.3">
      <c r="G1285">
        <v>2100</v>
      </c>
      <c r="H1285" s="114">
        <v>38730</v>
      </c>
      <c r="I1285" s="114">
        <v>40630</v>
      </c>
      <c r="J1285" s="113"/>
    </row>
    <row r="1286" spans="4:10" x14ac:dyDescent="0.3">
      <c r="G1286">
        <v>2400</v>
      </c>
      <c r="H1286" s="114">
        <v>44020</v>
      </c>
      <c r="I1286" s="114">
        <v>46040</v>
      </c>
      <c r="J1286" s="113"/>
    </row>
    <row r="1287" spans="4:10" x14ac:dyDescent="0.3">
      <c r="F1287">
        <v>440</v>
      </c>
      <c r="G1287">
        <v>1800</v>
      </c>
      <c r="H1287" s="114">
        <v>29550</v>
      </c>
      <c r="I1287" s="114">
        <v>30900</v>
      </c>
      <c r="J1287" s="113"/>
    </row>
    <row r="1288" spans="4:10" x14ac:dyDescent="0.3">
      <c r="G1288">
        <v>2100</v>
      </c>
      <c r="H1288" s="114">
        <v>34740</v>
      </c>
      <c r="I1288" s="114">
        <v>36160</v>
      </c>
      <c r="J1288" s="113"/>
    </row>
    <row r="1289" spans="4:10" x14ac:dyDescent="0.3">
      <c r="G1289">
        <v>2400</v>
      </c>
      <c r="H1289" s="114">
        <v>39890</v>
      </c>
      <c r="I1289" s="114">
        <v>41400</v>
      </c>
      <c r="J1289" s="113"/>
    </row>
    <row r="1290" spans="4:10" x14ac:dyDescent="0.3">
      <c r="D1290" t="s">
        <v>1030</v>
      </c>
      <c r="E1290">
        <v>2200</v>
      </c>
      <c r="F1290">
        <v>600</v>
      </c>
      <c r="G1290">
        <v>1800</v>
      </c>
      <c r="H1290" s="114">
        <v>30600</v>
      </c>
      <c r="I1290" s="114">
        <v>32250</v>
      </c>
      <c r="J1290" s="113"/>
    </row>
    <row r="1291" spans="4:10" x14ac:dyDescent="0.3">
      <c r="G1291">
        <v>2100</v>
      </c>
      <c r="H1291" s="114">
        <v>35430</v>
      </c>
      <c r="I1291" s="114">
        <v>37160</v>
      </c>
      <c r="J1291" s="113"/>
    </row>
    <row r="1292" spans="4:10" x14ac:dyDescent="0.3">
      <c r="G1292">
        <v>2400</v>
      </c>
      <c r="H1292" s="114">
        <v>40400</v>
      </c>
      <c r="I1292" s="114">
        <v>42250</v>
      </c>
      <c r="J1292" s="113"/>
    </row>
    <row r="1293" spans="4:10" x14ac:dyDescent="0.3">
      <c r="F1293">
        <v>440</v>
      </c>
      <c r="G1293">
        <v>1800</v>
      </c>
      <c r="H1293" s="114">
        <v>27730</v>
      </c>
      <c r="I1293" s="114">
        <v>29050</v>
      </c>
      <c r="J1293" s="113"/>
    </row>
    <row r="1294" spans="4:10" x14ac:dyDescent="0.3">
      <c r="G1294">
        <v>2100</v>
      </c>
      <c r="H1294" s="114">
        <v>32560</v>
      </c>
      <c r="I1294" s="114">
        <v>33950</v>
      </c>
      <c r="J1294" s="113"/>
    </row>
    <row r="1295" spans="4:10" x14ac:dyDescent="0.3">
      <c r="G1295">
        <v>2400</v>
      </c>
      <c r="H1295" s="114">
        <v>37390</v>
      </c>
      <c r="I1295" s="114">
        <v>38870</v>
      </c>
      <c r="J1295" s="113"/>
    </row>
    <row r="1296" spans="4:10" x14ac:dyDescent="0.3">
      <c r="E1296">
        <v>2400</v>
      </c>
      <c r="F1296">
        <v>600</v>
      </c>
      <c r="G1296">
        <v>1800</v>
      </c>
      <c r="H1296" s="114">
        <v>33320</v>
      </c>
      <c r="I1296" s="114">
        <v>35110</v>
      </c>
      <c r="J1296" s="113"/>
    </row>
    <row r="1297" spans="4:10" x14ac:dyDescent="0.3">
      <c r="G1297">
        <v>2100</v>
      </c>
      <c r="H1297" s="114">
        <v>38730</v>
      </c>
      <c r="I1297" s="114">
        <v>40630</v>
      </c>
      <c r="J1297" s="113"/>
    </row>
    <row r="1298" spans="4:10" x14ac:dyDescent="0.3">
      <c r="G1298">
        <v>2400</v>
      </c>
      <c r="H1298" s="114">
        <v>44020</v>
      </c>
      <c r="I1298" s="114">
        <v>46040</v>
      </c>
      <c r="J1298" s="113"/>
    </row>
    <row r="1299" spans="4:10" x14ac:dyDescent="0.3">
      <c r="F1299">
        <v>440</v>
      </c>
      <c r="G1299">
        <v>1800</v>
      </c>
      <c r="H1299" s="114">
        <v>29550</v>
      </c>
      <c r="I1299" s="114">
        <v>30900</v>
      </c>
      <c r="J1299" s="113"/>
    </row>
    <row r="1300" spans="4:10" x14ac:dyDescent="0.3">
      <c r="G1300">
        <v>2100</v>
      </c>
      <c r="H1300" s="114">
        <v>34740</v>
      </c>
      <c r="I1300" s="114">
        <v>36160</v>
      </c>
      <c r="J1300" s="113"/>
    </row>
    <row r="1301" spans="4:10" x14ac:dyDescent="0.3">
      <c r="G1301">
        <v>2400</v>
      </c>
      <c r="H1301" s="114">
        <v>39890</v>
      </c>
      <c r="I1301" s="114">
        <v>41400</v>
      </c>
      <c r="J1301" s="113"/>
    </row>
    <row r="1302" spans="4:10" x14ac:dyDescent="0.3">
      <c r="D1302" t="s">
        <v>1031</v>
      </c>
      <c r="E1302">
        <v>2200</v>
      </c>
      <c r="F1302">
        <v>600</v>
      </c>
      <c r="G1302">
        <v>1800</v>
      </c>
      <c r="H1302" s="114">
        <v>30600</v>
      </c>
      <c r="I1302" s="114">
        <v>32250</v>
      </c>
      <c r="J1302" s="113"/>
    </row>
    <row r="1303" spans="4:10" x14ac:dyDescent="0.3">
      <c r="G1303">
        <v>2100</v>
      </c>
      <c r="H1303" s="114">
        <v>35430</v>
      </c>
      <c r="I1303" s="114">
        <v>37160</v>
      </c>
      <c r="J1303" s="113"/>
    </row>
    <row r="1304" spans="4:10" x14ac:dyDescent="0.3">
      <c r="G1304">
        <v>2400</v>
      </c>
      <c r="H1304" s="114">
        <v>40400</v>
      </c>
      <c r="I1304" s="114">
        <v>42250</v>
      </c>
      <c r="J1304" s="113"/>
    </row>
    <row r="1305" spans="4:10" x14ac:dyDescent="0.3">
      <c r="F1305">
        <v>440</v>
      </c>
      <c r="G1305">
        <v>1800</v>
      </c>
      <c r="H1305" s="114">
        <v>27730</v>
      </c>
      <c r="I1305" s="114">
        <v>29050</v>
      </c>
      <c r="J1305" s="113"/>
    </row>
    <row r="1306" spans="4:10" x14ac:dyDescent="0.3">
      <c r="G1306">
        <v>2100</v>
      </c>
      <c r="H1306" s="114">
        <v>32560</v>
      </c>
      <c r="I1306" s="114">
        <v>33950</v>
      </c>
      <c r="J1306" s="113"/>
    </row>
    <row r="1307" spans="4:10" x14ac:dyDescent="0.3">
      <c r="G1307">
        <v>2400</v>
      </c>
      <c r="H1307" s="114">
        <v>37390</v>
      </c>
      <c r="I1307" s="114">
        <v>38870</v>
      </c>
      <c r="J1307" s="113"/>
    </row>
    <row r="1308" spans="4:10" x14ac:dyDescent="0.3">
      <c r="E1308">
        <v>2400</v>
      </c>
      <c r="F1308">
        <v>600</v>
      </c>
      <c r="G1308">
        <v>1800</v>
      </c>
      <c r="H1308" s="114">
        <v>33320</v>
      </c>
      <c r="I1308" s="114">
        <v>35110</v>
      </c>
      <c r="J1308" s="113"/>
    </row>
    <row r="1309" spans="4:10" x14ac:dyDescent="0.3">
      <c r="G1309">
        <v>2100</v>
      </c>
      <c r="H1309" s="114">
        <v>38730</v>
      </c>
      <c r="I1309" s="114">
        <v>40630</v>
      </c>
      <c r="J1309" s="113"/>
    </row>
    <row r="1310" spans="4:10" x14ac:dyDescent="0.3">
      <c r="G1310">
        <v>2400</v>
      </c>
      <c r="H1310" s="114">
        <v>44020</v>
      </c>
      <c r="I1310" s="114">
        <v>46040</v>
      </c>
      <c r="J1310" s="113"/>
    </row>
    <row r="1311" spans="4:10" x14ac:dyDescent="0.3">
      <c r="F1311">
        <v>440</v>
      </c>
      <c r="G1311">
        <v>1800</v>
      </c>
      <c r="H1311" s="114">
        <v>29550</v>
      </c>
      <c r="I1311" s="114">
        <v>30900</v>
      </c>
      <c r="J1311" s="113"/>
    </row>
    <row r="1312" spans="4:10" x14ac:dyDescent="0.3">
      <c r="G1312">
        <v>2100</v>
      </c>
      <c r="H1312" s="114">
        <v>34740</v>
      </c>
      <c r="I1312" s="114">
        <v>36160</v>
      </c>
      <c r="J1312" s="113"/>
    </row>
    <row r="1313" spans="4:10" x14ac:dyDescent="0.3">
      <c r="G1313">
        <v>2400</v>
      </c>
      <c r="H1313" s="114">
        <v>39890</v>
      </c>
      <c r="I1313" s="114">
        <v>41400</v>
      </c>
      <c r="J1313" s="113"/>
    </row>
    <row r="1314" spans="4:10" x14ac:dyDescent="0.3">
      <c r="D1314" t="s">
        <v>1032</v>
      </c>
      <c r="E1314">
        <v>2200</v>
      </c>
      <c r="F1314">
        <v>600</v>
      </c>
      <c r="G1314" s="284">
        <v>1800</v>
      </c>
      <c r="H1314" s="286">
        <v>30600</v>
      </c>
      <c r="I1314" s="286">
        <v>32250</v>
      </c>
      <c r="J1314" s="113"/>
    </row>
    <row r="1315" spans="4:10" x14ac:dyDescent="0.3">
      <c r="G1315" s="284">
        <v>2100</v>
      </c>
      <c r="H1315" s="286">
        <v>35430</v>
      </c>
      <c r="I1315" s="286">
        <v>37160</v>
      </c>
      <c r="J1315" s="113"/>
    </row>
    <row r="1316" spans="4:10" x14ac:dyDescent="0.3">
      <c r="G1316" s="284">
        <v>2400</v>
      </c>
      <c r="H1316" s="286">
        <v>40400</v>
      </c>
      <c r="I1316" s="286">
        <v>42250</v>
      </c>
      <c r="J1316" s="113"/>
    </row>
    <row r="1317" spans="4:10" x14ac:dyDescent="0.3">
      <c r="F1317">
        <v>440</v>
      </c>
      <c r="G1317" s="284">
        <v>1800</v>
      </c>
      <c r="H1317" s="286">
        <v>27730</v>
      </c>
      <c r="I1317" s="286">
        <v>29050</v>
      </c>
      <c r="J1317" s="113"/>
    </row>
    <row r="1318" spans="4:10" x14ac:dyDescent="0.3">
      <c r="G1318" s="284">
        <v>2100</v>
      </c>
      <c r="H1318" s="286">
        <v>32560</v>
      </c>
      <c r="I1318" s="286">
        <v>33950</v>
      </c>
      <c r="J1318" s="113"/>
    </row>
    <row r="1319" spans="4:10" x14ac:dyDescent="0.3">
      <c r="G1319" s="284">
        <v>2400</v>
      </c>
      <c r="H1319" s="286">
        <v>37390</v>
      </c>
      <c r="I1319" s="286">
        <v>38870</v>
      </c>
      <c r="J1319" s="113"/>
    </row>
    <row r="1320" spans="4:10" x14ac:dyDescent="0.3">
      <c r="E1320">
        <v>2400</v>
      </c>
      <c r="F1320">
        <v>600</v>
      </c>
      <c r="G1320" s="284">
        <v>1800</v>
      </c>
      <c r="H1320" s="286">
        <v>33320</v>
      </c>
      <c r="I1320" s="286">
        <v>35110</v>
      </c>
      <c r="J1320" s="113"/>
    </row>
    <row r="1321" spans="4:10" x14ac:dyDescent="0.3">
      <c r="G1321" s="284">
        <v>2100</v>
      </c>
      <c r="H1321" s="286">
        <v>38730</v>
      </c>
      <c r="I1321" s="286">
        <v>40630</v>
      </c>
      <c r="J1321" s="113"/>
    </row>
    <row r="1322" spans="4:10" x14ac:dyDescent="0.3">
      <c r="G1322" s="284">
        <v>2400</v>
      </c>
      <c r="H1322" s="286">
        <v>44020</v>
      </c>
      <c r="I1322" s="286">
        <v>46040</v>
      </c>
      <c r="J1322" s="113"/>
    </row>
    <row r="1323" spans="4:10" x14ac:dyDescent="0.3">
      <c r="F1323">
        <v>440</v>
      </c>
      <c r="G1323" s="284">
        <v>1800</v>
      </c>
      <c r="H1323" s="286">
        <v>29550</v>
      </c>
      <c r="I1323" s="286">
        <v>30900</v>
      </c>
      <c r="J1323" s="113"/>
    </row>
    <row r="1324" spans="4:10" x14ac:dyDescent="0.3">
      <c r="G1324" s="284">
        <v>2100</v>
      </c>
      <c r="H1324" s="286">
        <v>34740</v>
      </c>
      <c r="I1324" s="286">
        <v>36160</v>
      </c>
      <c r="J1324" s="113"/>
    </row>
    <row r="1325" spans="4:10" x14ac:dyDescent="0.3">
      <c r="G1325" s="284">
        <v>2400</v>
      </c>
      <c r="H1325" s="286">
        <v>39890</v>
      </c>
      <c r="I1325" s="286">
        <v>41400</v>
      </c>
      <c r="J1325" s="113"/>
    </row>
    <row r="1326" spans="4:10" x14ac:dyDescent="0.3">
      <c r="D1326" t="s">
        <v>1033</v>
      </c>
      <c r="E1326">
        <v>2200</v>
      </c>
      <c r="F1326">
        <v>600</v>
      </c>
      <c r="G1326">
        <v>1800</v>
      </c>
      <c r="H1326" s="114">
        <v>30600</v>
      </c>
      <c r="I1326" s="114">
        <v>32250</v>
      </c>
      <c r="J1326" s="113"/>
    </row>
    <row r="1327" spans="4:10" x14ac:dyDescent="0.3">
      <c r="G1327">
        <v>2100</v>
      </c>
      <c r="H1327" s="114">
        <v>35430</v>
      </c>
      <c r="I1327" s="114">
        <v>37160</v>
      </c>
      <c r="J1327" s="113"/>
    </row>
    <row r="1328" spans="4:10" x14ac:dyDescent="0.3">
      <c r="G1328">
        <v>2400</v>
      </c>
      <c r="H1328" s="114">
        <v>40400</v>
      </c>
      <c r="I1328" s="114">
        <v>42250</v>
      </c>
      <c r="J1328" s="113"/>
    </row>
    <row r="1329" spans="4:10" x14ac:dyDescent="0.3">
      <c r="F1329">
        <v>440</v>
      </c>
      <c r="G1329">
        <v>1800</v>
      </c>
      <c r="H1329" s="114">
        <v>27730</v>
      </c>
      <c r="I1329" s="114">
        <v>29050</v>
      </c>
      <c r="J1329" s="113"/>
    </row>
    <row r="1330" spans="4:10" x14ac:dyDescent="0.3">
      <c r="G1330">
        <v>2100</v>
      </c>
      <c r="H1330" s="114">
        <v>32560</v>
      </c>
      <c r="I1330" s="114">
        <v>33950</v>
      </c>
      <c r="J1330" s="113"/>
    </row>
    <row r="1331" spans="4:10" x14ac:dyDescent="0.3">
      <c r="G1331">
        <v>2400</v>
      </c>
      <c r="H1331" s="114">
        <v>37390</v>
      </c>
      <c r="I1331" s="114">
        <v>38870</v>
      </c>
      <c r="J1331" s="113"/>
    </row>
    <row r="1332" spans="4:10" x14ac:dyDescent="0.3">
      <c r="E1332">
        <v>2400</v>
      </c>
      <c r="F1332">
        <v>600</v>
      </c>
      <c r="G1332">
        <v>1800</v>
      </c>
      <c r="H1332" s="114">
        <v>33320</v>
      </c>
      <c r="I1332" s="114">
        <v>35110</v>
      </c>
      <c r="J1332" s="113"/>
    </row>
    <row r="1333" spans="4:10" x14ac:dyDescent="0.3">
      <c r="G1333">
        <v>2100</v>
      </c>
      <c r="H1333" s="114">
        <v>38730</v>
      </c>
      <c r="I1333" s="114">
        <v>40630</v>
      </c>
      <c r="J1333" s="113"/>
    </row>
    <row r="1334" spans="4:10" x14ac:dyDescent="0.3">
      <c r="G1334">
        <v>2400</v>
      </c>
      <c r="H1334" s="114">
        <v>44020</v>
      </c>
      <c r="I1334" s="114">
        <v>46040</v>
      </c>
      <c r="J1334" s="113"/>
    </row>
    <row r="1335" spans="4:10" x14ac:dyDescent="0.3">
      <c r="F1335">
        <v>440</v>
      </c>
      <c r="G1335">
        <v>1800</v>
      </c>
      <c r="H1335" s="114">
        <v>29550</v>
      </c>
      <c r="I1335" s="114">
        <v>30900</v>
      </c>
      <c r="J1335" s="113"/>
    </row>
    <row r="1336" spans="4:10" x14ac:dyDescent="0.3">
      <c r="G1336">
        <v>2100</v>
      </c>
      <c r="H1336" s="114">
        <v>34740</v>
      </c>
      <c r="I1336" s="114">
        <v>36160</v>
      </c>
      <c r="J1336" s="113"/>
    </row>
    <row r="1337" spans="4:10" x14ac:dyDescent="0.3">
      <c r="G1337">
        <v>2400</v>
      </c>
      <c r="H1337" s="114">
        <v>39890</v>
      </c>
      <c r="I1337" s="114">
        <v>41400</v>
      </c>
      <c r="J1337" s="113"/>
    </row>
    <row r="1338" spans="4:10" x14ac:dyDescent="0.3">
      <c r="D1338" t="s">
        <v>1034</v>
      </c>
      <c r="E1338">
        <v>2200</v>
      </c>
      <c r="F1338">
        <v>600</v>
      </c>
      <c r="G1338">
        <v>1800</v>
      </c>
      <c r="H1338" s="114">
        <v>30600</v>
      </c>
      <c r="I1338" s="114">
        <v>32250</v>
      </c>
      <c r="J1338" s="113"/>
    </row>
    <row r="1339" spans="4:10" x14ac:dyDescent="0.3">
      <c r="G1339">
        <v>2100</v>
      </c>
      <c r="H1339" s="114">
        <v>35430</v>
      </c>
      <c r="I1339" s="114">
        <v>37160</v>
      </c>
      <c r="J1339" s="113"/>
    </row>
    <row r="1340" spans="4:10" x14ac:dyDescent="0.3">
      <c r="G1340">
        <v>2400</v>
      </c>
      <c r="H1340" s="114">
        <v>40400</v>
      </c>
      <c r="I1340" s="114">
        <v>42250</v>
      </c>
      <c r="J1340" s="113"/>
    </row>
    <row r="1341" spans="4:10" x14ac:dyDescent="0.3">
      <c r="F1341">
        <v>440</v>
      </c>
      <c r="G1341">
        <v>1800</v>
      </c>
      <c r="H1341" s="114">
        <v>27730</v>
      </c>
      <c r="I1341" s="114">
        <v>29050</v>
      </c>
      <c r="J1341" s="113"/>
    </row>
    <row r="1342" spans="4:10" x14ac:dyDescent="0.3">
      <c r="G1342">
        <v>2100</v>
      </c>
      <c r="H1342" s="114">
        <v>32560</v>
      </c>
      <c r="I1342" s="114">
        <v>33950</v>
      </c>
      <c r="J1342" s="113"/>
    </row>
    <row r="1343" spans="4:10" x14ac:dyDescent="0.3">
      <c r="G1343">
        <v>2400</v>
      </c>
      <c r="H1343" s="114">
        <v>37390</v>
      </c>
      <c r="I1343" s="114">
        <v>38870</v>
      </c>
      <c r="J1343" s="113"/>
    </row>
    <row r="1344" spans="4:10" x14ac:dyDescent="0.3">
      <c r="E1344">
        <v>2400</v>
      </c>
      <c r="F1344">
        <v>600</v>
      </c>
      <c r="G1344">
        <v>1800</v>
      </c>
      <c r="H1344" s="114">
        <v>33320</v>
      </c>
      <c r="I1344" s="114">
        <v>35110</v>
      </c>
      <c r="J1344" s="113"/>
    </row>
    <row r="1345" spans="4:10" x14ac:dyDescent="0.3">
      <c r="G1345">
        <v>2100</v>
      </c>
      <c r="H1345" s="114">
        <v>38730</v>
      </c>
      <c r="I1345" s="114">
        <v>40630</v>
      </c>
      <c r="J1345" s="113"/>
    </row>
    <row r="1346" spans="4:10" x14ac:dyDescent="0.3">
      <c r="G1346">
        <v>2400</v>
      </c>
      <c r="H1346" s="114">
        <v>44020</v>
      </c>
      <c r="I1346" s="114">
        <v>46040</v>
      </c>
      <c r="J1346" s="113"/>
    </row>
    <row r="1347" spans="4:10" x14ac:dyDescent="0.3">
      <c r="F1347">
        <v>440</v>
      </c>
      <c r="G1347">
        <v>1800</v>
      </c>
      <c r="H1347" s="114">
        <v>29550</v>
      </c>
      <c r="I1347" s="114">
        <v>30900</v>
      </c>
      <c r="J1347" s="113"/>
    </row>
    <row r="1348" spans="4:10" x14ac:dyDescent="0.3">
      <c r="G1348">
        <v>2100</v>
      </c>
      <c r="H1348" s="114">
        <v>34740</v>
      </c>
      <c r="I1348" s="114">
        <v>36160</v>
      </c>
      <c r="J1348" s="113"/>
    </row>
    <row r="1349" spans="4:10" x14ac:dyDescent="0.3">
      <c r="G1349">
        <v>2400</v>
      </c>
      <c r="H1349" s="114">
        <v>39890</v>
      </c>
      <c r="I1349" s="114">
        <v>41400</v>
      </c>
      <c r="J1349" s="113"/>
    </row>
    <row r="1350" spans="4:10" x14ac:dyDescent="0.3">
      <c r="D1350" t="s">
        <v>1035</v>
      </c>
      <c r="E1350">
        <v>2200</v>
      </c>
      <c r="F1350">
        <v>600</v>
      </c>
      <c r="G1350">
        <v>1800</v>
      </c>
      <c r="H1350" s="114">
        <v>30600</v>
      </c>
      <c r="I1350" s="114">
        <v>32250</v>
      </c>
      <c r="J1350" s="113"/>
    </row>
    <row r="1351" spans="4:10" x14ac:dyDescent="0.3">
      <c r="G1351">
        <v>2100</v>
      </c>
      <c r="H1351" s="114">
        <v>35430</v>
      </c>
      <c r="I1351" s="114">
        <v>37160</v>
      </c>
      <c r="J1351" s="113"/>
    </row>
    <row r="1352" spans="4:10" x14ac:dyDescent="0.3">
      <c r="G1352">
        <v>2400</v>
      </c>
      <c r="H1352" s="114">
        <v>40400</v>
      </c>
      <c r="I1352" s="114">
        <v>42250</v>
      </c>
      <c r="J1352" s="113"/>
    </row>
    <row r="1353" spans="4:10" x14ac:dyDescent="0.3">
      <c r="F1353">
        <v>440</v>
      </c>
      <c r="G1353">
        <v>1800</v>
      </c>
      <c r="H1353" s="114">
        <v>27730</v>
      </c>
      <c r="I1353" s="114">
        <v>29050</v>
      </c>
      <c r="J1353" s="113"/>
    </row>
    <row r="1354" spans="4:10" x14ac:dyDescent="0.3">
      <c r="G1354">
        <v>2100</v>
      </c>
      <c r="H1354" s="114">
        <v>32560</v>
      </c>
      <c r="I1354" s="114">
        <v>33950</v>
      </c>
      <c r="J1354" s="113"/>
    </row>
    <row r="1355" spans="4:10" x14ac:dyDescent="0.3">
      <c r="G1355">
        <v>2400</v>
      </c>
      <c r="H1355" s="114">
        <v>37390</v>
      </c>
      <c r="I1355" s="114">
        <v>38870</v>
      </c>
      <c r="J1355" s="113"/>
    </row>
    <row r="1356" spans="4:10" x14ac:dyDescent="0.3">
      <c r="E1356">
        <v>2400</v>
      </c>
      <c r="F1356">
        <v>600</v>
      </c>
      <c r="G1356">
        <v>1800</v>
      </c>
      <c r="H1356" s="114">
        <v>33320</v>
      </c>
      <c r="I1356" s="114">
        <v>35110</v>
      </c>
      <c r="J1356" s="113"/>
    </row>
    <row r="1357" spans="4:10" x14ac:dyDescent="0.3">
      <c r="G1357">
        <v>2100</v>
      </c>
      <c r="H1357" s="114">
        <v>38730</v>
      </c>
      <c r="I1357" s="114">
        <v>40630</v>
      </c>
      <c r="J1357" s="113"/>
    </row>
    <row r="1358" spans="4:10" x14ac:dyDescent="0.3">
      <c r="G1358">
        <v>2400</v>
      </c>
      <c r="H1358" s="114">
        <v>44020</v>
      </c>
      <c r="I1358" s="114">
        <v>46040</v>
      </c>
      <c r="J1358" s="113"/>
    </row>
    <row r="1359" spans="4:10" x14ac:dyDescent="0.3">
      <c r="F1359">
        <v>440</v>
      </c>
      <c r="G1359">
        <v>1800</v>
      </c>
      <c r="H1359" s="114">
        <v>29550</v>
      </c>
      <c r="I1359" s="114">
        <v>30900</v>
      </c>
      <c r="J1359" s="113"/>
    </row>
    <row r="1360" spans="4:10" x14ac:dyDescent="0.3">
      <c r="G1360">
        <v>2100</v>
      </c>
      <c r="H1360" s="114">
        <v>34740</v>
      </c>
      <c r="I1360" s="114">
        <v>36160</v>
      </c>
      <c r="J1360" s="113"/>
    </row>
    <row r="1361" spans="4:10" x14ac:dyDescent="0.3">
      <c r="G1361">
        <v>2400</v>
      </c>
      <c r="H1361" s="114">
        <v>39890</v>
      </c>
      <c r="I1361" s="114">
        <v>41400</v>
      </c>
      <c r="J1361" s="113"/>
    </row>
    <row r="1362" spans="4:10" x14ac:dyDescent="0.3">
      <c r="D1362" t="s">
        <v>1036</v>
      </c>
      <c r="E1362">
        <v>2200</v>
      </c>
      <c r="F1362">
        <v>600</v>
      </c>
      <c r="G1362">
        <v>1800</v>
      </c>
      <c r="H1362" s="114">
        <v>30600</v>
      </c>
      <c r="I1362" s="114">
        <v>32250</v>
      </c>
      <c r="J1362" s="113"/>
    </row>
    <row r="1363" spans="4:10" x14ac:dyDescent="0.3">
      <c r="G1363">
        <v>2100</v>
      </c>
      <c r="H1363" s="114">
        <v>35430</v>
      </c>
      <c r="I1363" s="114">
        <v>37160</v>
      </c>
      <c r="J1363" s="113"/>
    </row>
    <row r="1364" spans="4:10" x14ac:dyDescent="0.3">
      <c r="G1364">
        <v>2400</v>
      </c>
      <c r="H1364" s="114">
        <v>40400</v>
      </c>
      <c r="I1364" s="114">
        <v>42250</v>
      </c>
      <c r="J1364" s="113"/>
    </row>
    <row r="1365" spans="4:10" x14ac:dyDescent="0.3">
      <c r="F1365">
        <v>440</v>
      </c>
      <c r="G1365">
        <v>1800</v>
      </c>
      <c r="H1365" s="114">
        <v>27730</v>
      </c>
      <c r="I1365" s="114">
        <v>29050</v>
      </c>
      <c r="J1365" s="113"/>
    </row>
    <row r="1366" spans="4:10" x14ac:dyDescent="0.3">
      <c r="G1366">
        <v>2100</v>
      </c>
      <c r="H1366" s="114">
        <v>32560</v>
      </c>
      <c r="I1366" s="114">
        <v>33950</v>
      </c>
      <c r="J1366" s="113"/>
    </row>
    <row r="1367" spans="4:10" x14ac:dyDescent="0.3">
      <c r="G1367">
        <v>2400</v>
      </c>
      <c r="H1367" s="114">
        <v>37390</v>
      </c>
      <c r="I1367" s="114">
        <v>38870</v>
      </c>
      <c r="J1367" s="113"/>
    </row>
    <row r="1368" spans="4:10" x14ac:dyDescent="0.3">
      <c r="E1368">
        <v>2400</v>
      </c>
      <c r="F1368">
        <v>600</v>
      </c>
      <c r="G1368">
        <v>1800</v>
      </c>
      <c r="H1368" s="114">
        <v>33320</v>
      </c>
      <c r="I1368" s="114">
        <v>35110</v>
      </c>
      <c r="J1368" s="113"/>
    </row>
    <row r="1369" spans="4:10" x14ac:dyDescent="0.3">
      <c r="G1369">
        <v>2100</v>
      </c>
      <c r="H1369" s="114">
        <v>38730</v>
      </c>
      <c r="I1369" s="114">
        <v>40630</v>
      </c>
      <c r="J1369" s="113"/>
    </row>
    <row r="1370" spans="4:10" x14ac:dyDescent="0.3">
      <c r="G1370">
        <v>2400</v>
      </c>
      <c r="H1370" s="114">
        <v>44020</v>
      </c>
      <c r="I1370" s="114">
        <v>46040</v>
      </c>
      <c r="J1370" s="113"/>
    </row>
    <row r="1371" spans="4:10" x14ac:dyDescent="0.3">
      <c r="F1371">
        <v>440</v>
      </c>
      <c r="G1371">
        <v>1800</v>
      </c>
      <c r="H1371" s="114">
        <v>29550</v>
      </c>
      <c r="I1371" s="114">
        <v>30900</v>
      </c>
      <c r="J1371" s="113"/>
    </row>
    <row r="1372" spans="4:10" x14ac:dyDescent="0.3">
      <c r="G1372">
        <v>2100</v>
      </c>
      <c r="H1372" s="114">
        <v>34740</v>
      </c>
      <c r="I1372" s="114">
        <v>36160</v>
      </c>
      <c r="J1372" s="113"/>
    </row>
    <row r="1373" spans="4:10" x14ac:dyDescent="0.3">
      <c r="G1373">
        <v>2400</v>
      </c>
      <c r="H1373" s="114">
        <v>39890</v>
      </c>
      <c r="I1373" s="114">
        <v>41400</v>
      </c>
      <c r="J1373" s="113"/>
    </row>
    <row r="1374" spans="4:10" x14ac:dyDescent="0.3">
      <c r="D1374" t="s">
        <v>1037</v>
      </c>
      <c r="E1374">
        <v>2200</v>
      </c>
      <c r="F1374">
        <v>600</v>
      </c>
      <c r="G1374">
        <v>1800</v>
      </c>
      <c r="H1374" s="114">
        <v>30600</v>
      </c>
      <c r="I1374" s="114">
        <v>32250</v>
      </c>
      <c r="J1374" s="113"/>
    </row>
    <row r="1375" spans="4:10" x14ac:dyDescent="0.3">
      <c r="G1375">
        <v>2100</v>
      </c>
      <c r="H1375" s="114">
        <v>35430</v>
      </c>
      <c r="I1375" s="114">
        <v>37160</v>
      </c>
      <c r="J1375" s="113"/>
    </row>
    <row r="1376" spans="4:10" x14ac:dyDescent="0.3">
      <c r="G1376">
        <v>2400</v>
      </c>
      <c r="H1376" s="114">
        <v>40400</v>
      </c>
      <c r="I1376" s="114">
        <v>42250</v>
      </c>
      <c r="J1376" s="113"/>
    </row>
    <row r="1377" spans="4:10" x14ac:dyDescent="0.3">
      <c r="F1377">
        <v>440</v>
      </c>
      <c r="G1377">
        <v>1800</v>
      </c>
      <c r="H1377" s="114">
        <v>27730</v>
      </c>
      <c r="I1377" s="114">
        <v>29050</v>
      </c>
      <c r="J1377" s="113"/>
    </row>
    <row r="1378" spans="4:10" x14ac:dyDescent="0.3">
      <c r="G1378">
        <v>2100</v>
      </c>
      <c r="H1378" s="114">
        <v>32560</v>
      </c>
      <c r="I1378" s="114">
        <v>33950</v>
      </c>
      <c r="J1378" s="113"/>
    </row>
    <row r="1379" spans="4:10" x14ac:dyDescent="0.3">
      <c r="G1379">
        <v>2400</v>
      </c>
      <c r="H1379" s="114">
        <v>37390</v>
      </c>
      <c r="I1379" s="114">
        <v>38870</v>
      </c>
      <c r="J1379" s="113"/>
    </row>
    <row r="1380" spans="4:10" x14ac:dyDescent="0.3">
      <c r="E1380">
        <v>2400</v>
      </c>
      <c r="F1380">
        <v>600</v>
      </c>
      <c r="G1380">
        <v>1800</v>
      </c>
      <c r="H1380" s="114">
        <v>33320</v>
      </c>
      <c r="I1380" s="114">
        <v>35110</v>
      </c>
      <c r="J1380" s="113"/>
    </row>
    <row r="1381" spans="4:10" x14ac:dyDescent="0.3">
      <c r="G1381">
        <v>2100</v>
      </c>
      <c r="H1381" s="114">
        <v>38730</v>
      </c>
      <c r="I1381" s="114">
        <v>40630</v>
      </c>
      <c r="J1381" s="113"/>
    </row>
    <row r="1382" spans="4:10" x14ac:dyDescent="0.3">
      <c r="G1382">
        <v>2400</v>
      </c>
      <c r="H1382" s="114">
        <v>44020</v>
      </c>
      <c r="I1382" s="114">
        <v>46040</v>
      </c>
      <c r="J1382" s="113"/>
    </row>
    <row r="1383" spans="4:10" x14ac:dyDescent="0.3">
      <c r="F1383">
        <v>440</v>
      </c>
      <c r="G1383">
        <v>1800</v>
      </c>
      <c r="H1383" s="114">
        <v>29550</v>
      </c>
      <c r="I1383" s="114">
        <v>30900</v>
      </c>
      <c r="J1383" s="113"/>
    </row>
    <row r="1384" spans="4:10" x14ac:dyDescent="0.3">
      <c r="G1384">
        <v>2100</v>
      </c>
      <c r="H1384" s="114">
        <v>34740</v>
      </c>
      <c r="I1384" s="114">
        <v>36160</v>
      </c>
      <c r="J1384" s="113"/>
    </row>
    <row r="1385" spans="4:10" x14ac:dyDescent="0.3">
      <c r="G1385">
        <v>2400</v>
      </c>
      <c r="H1385" s="114">
        <v>39890</v>
      </c>
      <c r="I1385" s="114">
        <v>41400</v>
      </c>
      <c r="J1385" s="113"/>
    </row>
    <row r="1386" spans="4:10" x14ac:dyDescent="0.3">
      <c r="D1386" t="s">
        <v>1038</v>
      </c>
      <c r="E1386">
        <v>2200</v>
      </c>
      <c r="F1386">
        <v>600</v>
      </c>
      <c r="G1386">
        <v>1800</v>
      </c>
      <c r="H1386" s="114">
        <v>30600</v>
      </c>
      <c r="I1386" s="114">
        <v>32250</v>
      </c>
      <c r="J1386" s="113"/>
    </row>
    <row r="1387" spans="4:10" x14ac:dyDescent="0.3">
      <c r="G1387">
        <v>2100</v>
      </c>
      <c r="H1387" s="114">
        <v>35430</v>
      </c>
      <c r="I1387" s="114">
        <v>37160</v>
      </c>
      <c r="J1387" s="113"/>
    </row>
    <row r="1388" spans="4:10" x14ac:dyDescent="0.3">
      <c r="G1388">
        <v>2400</v>
      </c>
      <c r="H1388" s="114">
        <v>40400</v>
      </c>
      <c r="I1388" s="114">
        <v>42250</v>
      </c>
      <c r="J1388" s="113"/>
    </row>
    <row r="1389" spans="4:10" x14ac:dyDescent="0.3">
      <c r="F1389">
        <v>440</v>
      </c>
      <c r="G1389">
        <v>1800</v>
      </c>
      <c r="H1389" s="114">
        <v>27730</v>
      </c>
      <c r="I1389" s="114">
        <v>29050</v>
      </c>
      <c r="J1389" s="113"/>
    </row>
    <row r="1390" spans="4:10" x14ac:dyDescent="0.3">
      <c r="G1390">
        <v>2100</v>
      </c>
      <c r="H1390" s="114">
        <v>32560</v>
      </c>
      <c r="I1390" s="114">
        <v>33950</v>
      </c>
      <c r="J1390" s="113"/>
    </row>
    <row r="1391" spans="4:10" x14ac:dyDescent="0.3">
      <c r="G1391">
        <v>2400</v>
      </c>
      <c r="H1391" s="114">
        <v>37390</v>
      </c>
      <c r="I1391" s="114">
        <v>38870</v>
      </c>
      <c r="J1391" s="113"/>
    </row>
    <row r="1392" spans="4:10" x14ac:dyDescent="0.3">
      <c r="E1392">
        <v>2400</v>
      </c>
      <c r="F1392">
        <v>600</v>
      </c>
      <c r="G1392">
        <v>1800</v>
      </c>
      <c r="H1392" s="114">
        <v>33320</v>
      </c>
      <c r="I1392" s="114">
        <v>35110</v>
      </c>
      <c r="J1392" s="113"/>
    </row>
    <row r="1393" spans="4:10" x14ac:dyDescent="0.3">
      <c r="G1393">
        <v>2100</v>
      </c>
      <c r="H1393" s="114">
        <v>38730</v>
      </c>
      <c r="I1393" s="114">
        <v>40630</v>
      </c>
      <c r="J1393" s="113"/>
    </row>
    <row r="1394" spans="4:10" x14ac:dyDescent="0.3">
      <c r="G1394">
        <v>2400</v>
      </c>
      <c r="H1394" s="114">
        <v>44020</v>
      </c>
      <c r="I1394" s="114">
        <v>46040</v>
      </c>
      <c r="J1394" s="113"/>
    </row>
    <row r="1395" spans="4:10" x14ac:dyDescent="0.3">
      <c r="F1395">
        <v>440</v>
      </c>
      <c r="G1395">
        <v>1800</v>
      </c>
      <c r="H1395" s="114">
        <v>29550</v>
      </c>
      <c r="I1395" s="114">
        <v>30900</v>
      </c>
      <c r="J1395" s="113"/>
    </row>
    <row r="1396" spans="4:10" x14ac:dyDescent="0.3">
      <c r="G1396">
        <v>2100</v>
      </c>
      <c r="H1396" s="114">
        <v>34740</v>
      </c>
      <c r="I1396" s="114">
        <v>36160</v>
      </c>
      <c r="J1396" s="113"/>
    </row>
    <row r="1397" spans="4:10" x14ac:dyDescent="0.3">
      <c r="G1397">
        <v>2400</v>
      </c>
      <c r="H1397" s="114">
        <v>39890</v>
      </c>
      <c r="I1397" s="114">
        <v>41400</v>
      </c>
      <c r="J1397" s="113"/>
    </row>
    <row r="1398" spans="4:10" x14ac:dyDescent="0.3">
      <c r="D1398" t="s">
        <v>1039</v>
      </c>
      <c r="E1398">
        <v>2200</v>
      </c>
      <c r="F1398">
        <v>600</v>
      </c>
      <c r="G1398">
        <v>1800</v>
      </c>
      <c r="H1398" s="114">
        <v>30600</v>
      </c>
      <c r="I1398" s="114">
        <v>32250</v>
      </c>
      <c r="J1398" s="113"/>
    </row>
    <row r="1399" spans="4:10" x14ac:dyDescent="0.3">
      <c r="G1399">
        <v>2100</v>
      </c>
      <c r="H1399" s="114">
        <v>35430</v>
      </c>
      <c r="I1399" s="114">
        <v>37160</v>
      </c>
      <c r="J1399" s="113"/>
    </row>
    <row r="1400" spans="4:10" x14ac:dyDescent="0.3">
      <c r="G1400">
        <v>2400</v>
      </c>
      <c r="H1400" s="114">
        <v>40400</v>
      </c>
      <c r="I1400" s="114">
        <v>42250</v>
      </c>
      <c r="J1400" s="113"/>
    </row>
    <row r="1401" spans="4:10" x14ac:dyDescent="0.3">
      <c r="F1401">
        <v>440</v>
      </c>
      <c r="G1401">
        <v>1800</v>
      </c>
      <c r="H1401" s="114">
        <v>27730</v>
      </c>
      <c r="I1401" s="114">
        <v>29050</v>
      </c>
      <c r="J1401" s="113"/>
    </row>
    <row r="1402" spans="4:10" x14ac:dyDescent="0.3">
      <c r="G1402">
        <v>2100</v>
      </c>
      <c r="H1402" s="114">
        <v>32560</v>
      </c>
      <c r="I1402" s="114">
        <v>33950</v>
      </c>
      <c r="J1402" s="113"/>
    </row>
    <row r="1403" spans="4:10" x14ac:dyDescent="0.3">
      <c r="G1403">
        <v>2400</v>
      </c>
      <c r="H1403" s="114">
        <v>37390</v>
      </c>
      <c r="I1403" s="114">
        <v>38870</v>
      </c>
      <c r="J1403" s="113"/>
    </row>
    <row r="1404" spans="4:10" x14ac:dyDescent="0.3">
      <c r="E1404">
        <v>2400</v>
      </c>
      <c r="F1404">
        <v>600</v>
      </c>
      <c r="G1404">
        <v>1800</v>
      </c>
      <c r="H1404" s="114">
        <v>33320</v>
      </c>
      <c r="I1404" s="114">
        <v>35110</v>
      </c>
      <c r="J1404" s="113"/>
    </row>
    <row r="1405" spans="4:10" x14ac:dyDescent="0.3">
      <c r="G1405">
        <v>2100</v>
      </c>
      <c r="H1405" s="114">
        <v>38730</v>
      </c>
      <c r="I1405" s="114">
        <v>40630</v>
      </c>
      <c r="J1405" s="113"/>
    </row>
    <row r="1406" spans="4:10" x14ac:dyDescent="0.3">
      <c r="G1406">
        <v>2400</v>
      </c>
      <c r="H1406" s="114">
        <v>44020</v>
      </c>
      <c r="I1406" s="114">
        <v>46040</v>
      </c>
      <c r="J1406" s="113"/>
    </row>
    <row r="1407" spans="4:10" x14ac:dyDescent="0.3">
      <c r="F1407">
        <v>440</v>
      </c>
      <c r="G1407">
        <v>1800</v>
      </c>
      <c r="H1407" s="114">
        <v>29550</v>
      </c>
      <c r="I1407" s="114">
        <v>30900</v>
      </c>
      <c r="J1407" s="113"/>
    </row>
    <row r="1408" spans="4:10" x14ac:dyDescent="0.3">
      <c r="G1408">
        <v>2100</v>
      </c>
      <c r="H1408" s="114">
        <v>34740</v>
      </c>
      <c r="I1408" s="114">
        <v>36160</v>
      </c>
      <c r="J1408" s="113"/>
    </row>
    <row r="1409" spans="4:10" x14ac:dyDescent="0.3">
      <c r="G1409">
        <v>2400</v>
      </c>
      <c r="H1409" s="114">
        <v>39890</v>
      </c>
      <c r="I1409" s="114">
        <v>41400</v>
      </c>
      <c r="J1409" s="113"/>
    </row>
    <row r="1410" spans="4:10" x14ac:dyDescent="0.3">
      <c r="D1410" t="s">
        <v>1040</v>
      </c>
      <c r="E1410">
        <v>2200</v>
      </c>
      <c r="F1410">
        <v>600</v>
      </c>
      <c r="G1410">
        <v>1800</v>
      </c>
      <c r="H1410" s="114">
        <v>30600</v>
      </c>
      <c r="I1410" s="114">
        <v>32250</v>
      </c>
      <c r="J1410" s="113"/>
    </row>
    <row r="1411" spans="4:10" x14ac:dyDescent="0.3">
      <c r="G1411">
        <v>2100</v>
      </c>
      <c r="H1411" s="114">
        <v>35430</v>
      </c>
      <c r="I1411" s="114">
        <v>37160</v>
      </c>
      <c r="J1411" s="113"/>
    </row>
    <row r="1412" spans="4:10" x14ac:dyDescent="0.3">
      <c r="G1412">
        <v>2400</v>
      </c>
      <c r="H1412" s="114">
        <v>40400</v>
      </c>
      <c r="I1412" s="114">
        <v>42250</v>
      </c>
      <c r="J1412" s="113"/>
    </row>
    <row r="1413" spans="4:10" x14ac:dyDescent="0.3">
      <c r="F1413">
        <v>440</v>
      </c>
      <c r="G1413">
        <v>1800</v>
      </c>
      <c r="H1413" s="114">
        <v>27730</v>
      </c>
      <c r="I1413" s="114">
        <v>29050</v>
      </c>
      <c r="J1413" s="113"/>
    </row>
    <row r="1414" spans="4:10" x14ac:dyDescent="0.3">
      <c r="G1414">
        <v>2100</v>
      </c>
      <c r="H1414" s="114">
        <v>32560</v>
      </c>
      <c r="I1414" s="114">
        <v>33950</v>
      </c>
      <c r="J1414" s="113"/>
    </row>
    <row r="1415" spans="4:10" x14ac:dyDescent="0.3">
      <c r="G1415">
        <v>2400</v>
      </c>
      <c r="H1415" s="114">
        <v>37390</v>
      </c>
      <c r="I1415" s="114">
        <v>38870</v>
      </c>
      <c r="J1415" s="113"/>
    </row>
    <row r="1416" spans="4:10" x14ac:dyDescent="0.3">
      <c r="E1416">
        <v>2400</v>
      </c>
      <c r="F1416">
        <v>600</v>
      </c>
      <c r="G1416">
        <v>1800</v>
      </c>
      <c r="H1416" s="114">
        <v>33320</v>
      </c>
      <c r="I1416" s="114">
        <v>35110</v>
      </c>
      <c r="J1416" s="113"/>
    </row>
    <row r="1417" spans="4:10" x14ac:dyDescent="0.3">
      <c r="G1417">
        <v>2100</v>
      </c>
      <c r="H1417" s="114">
        <v>38730</v>
      </c>
      <c r="I1417" s="114">
        <v>40630</v>
      </c>
      <c r="J1417" s="113"/>
    </row>
    <row r="1418" spans="4:10" x14ac:dyDescent="0.3">
      <c r="G1418">
        <v>2400</v>
      </c>
      <c r="H1418" s="114">
        <v>44020</v>
      </c>
      <c r="I1418" s="114">
        <v>46040</v>
      </c>
      <c r="J1418" s="113"/>
    </row>
    <row r="1419" spans="4:10" x14ac:dyDescent="0.3">
      <c r="F1419">
        <v>440</v>
      </c>
      <c r="G1419">
        <v>1800</v>
      </c>
      <c r="H1419" s="114">
        <v>29550</v>
      </c>
      <c r="I1419" s="114">
        <v>30900</v>
      </c>
      <c r="J1419" s="113"/>
    </row>
    <row r="1420" spans="4:10" x14ac:dyDescent="0.3">
      <c r="G1420">
        <v>2100</v>
      </c>
      <c r="H1420" s="114">
        <v>34740</v>
      </c>
      <c r="I1420" s="114">
        <v>36160</v>
      </c>
      <c r="J1420" s="113"/>
    </row>
    <row r="1421" spans="4:10" x14ac:dyDescent="0.3">
      <c r="G1421">
        <v>2400</v>
      </c>
      <c r="H1421" s="114">
        <v>39890</v>
      </c>
      <c r="I1421" s="114">
        <v>41400</v>
      </c>
      <c r="J1421" s="113"/>
    </row>
    <row r="1422" spans="4:10" x14ac:dyDescent="0.3">
      <c r="D1422" t="s">
        <v>1041</v>
      </c>
      <c r="E1422">
        <v>2200</v>
      </c>
      <c r="F1422">
        <v>600</v>
      </c>
      <c r="G1422">
        <v>1800</v>
      </c>
      <c r="H1422" s="114">
        <v>30600</v>
      </c>
      <c r="I1422" s="114">
        <v>32250</v>
      </c>
      <c r="J1422" s="113"/>
    </row>
    <row r="1423" spans="4:10" x14ac:dyDescent="0.3">
      <c r="G1423">
        <v>2100</v>
      </c>
      <c r="H1423" s="114">
        <v>35430</v>
      </c>
      <c r="I1423" s="114">
        <v>37160</v>
      </c>
      <c r="J1423" s="113"/>
    </row>
    <row r="1424" spans="4:10" x14ac:dyDescent="0.3">
      <c r="G1424">
        <v>2400</v>
      </c>
      <c r="H1424" s="114">
        <v>40400</v>
      </c>
      <c r="I1424" s="114">
        <v>42250</v>
      </c>
      <c r="J1424" s="113"/>
    </row>
    <row r="1425" spans="4:10" x14ac:dyDescent="0.3">
      <c r="F1425">
        <v>440</v>
      </c>
      <c r="G1425">
        <v>1800</v>
      </c>
      <c r="H1425" s="114">
        <v>27730</v>
      </c>
      <c r="I1425" s="114">
        <v>29050</v>
      </c>
      <c r="J1425" s="113"/>
    </row>
    <row r="1426" spans="4:10" x14ac:dyDescent="0.3">
      <c r="G1426">
        <v>2100</v>
      </c>
      <c r="H1426" s="114">
        <v>32560</v>
      </c>
      <c r="I1426" s="114">
        <v>33950</v>
      </c>
      <c r="J1426" s="113"/>
    </row>
    <row r="1427" spans="4:10" x14ac:dyDescent="0.3">
      <c r="G1427">
        <v>2400</v>
      </c>
      <c r="H1427" s="114">
        <v>37390</v>
      </c>
      <c r="I1427" s="114">
        <v>38870</v>
      </c>
      <c r="J1427" s="113"/>
    </row>
    <row r="1428" spans="4:10" x14ac:dyDescent="0.3">
      <c r="E1428">
        <v>2400</v>
      </c>
      <c r="F1428">
        <v>600</v>
      </c>
      <c r="G1428">
        <v>1800</v>
      </c>
      <c r="H1428" s="114">
        <v>33320</v>
      </c>
      <c r="I1428" s="114">
        <v>35110</v>
      </c>
      <c r="J1428" s="113"/>
    </row>
    <row r="1429" spans="4:10" x14ac:dyDescent="0.3">
      <c r="G1429">
        <v>2100</v>
      </c>
      <c r="H1429" s="114">
        <v>38730</v>
      </c>
      <c r="I1429" s="114">
        <v>40630</v>
      </c>
      <c r="J1429" s="113"/>
    </row>
    <row r="1430" spans="4:10" x14ac:dyDescent="0.3">
      <c r="G1430">
        <v>2400</v>
      </c>
      <c r="H1430" s="114">
        <v>44020</v>
      </c>
      <c r="I1430" s="114">
        <v>46040</v>
      </c>
      <c r="J1430" s="113"/>
    </row>
    <row r="1431" spans="4:10" x14ac:dyDescent="0.3">
      <c r="F1431">
        <v>440</v>
      </c>
      <c r="G1431">
        <v>1800</v>
      </c>
      <c r="H1431" s="114">
        <v>29550</v>
      </c>
      <c r="I1431" s="114">
        <v>30900</v>
      </c>
      <c r="J1431" s="113"/>
    </row>
    <row r="1432" spans="4:10" x14ac:dyDescent="0.3">
      <c r="G1432">
        <v>2100</v>
      </c>
      <c r="H1432" s="114">
        <v>34740</v>
      </c>
      <c r="I1432" s="114">
        <v>36160</v>
      </c>
      <c r="J1432" s="113"/>
    </row>
    <row r="1433" spans="4:10" x14ac:dyDescent="0.3">
      <c r="G1433">
        <v>2400</v>
      </c>
      <c r="H1433" s="114">
        <v>39890</v>
      </c>
      <c r="I1433" s="114">
        <v>41400</v>
      </c>
      <c r="J1433" s="113"/>
    </row>
    <row r="1434" spans="4:10" x14ac:dyDescent="0.3">
      <c r="D1434" t="s">
        <v>1042</v>
      </c>
      <c r="E1434">
        <v>2200</v>
      </c>
      <c r="F1434">
        <v>600</v>
      </c>
      <c r="G1434">
        <v>1800</v>
      </c>
      <c r="H1434" s="114">
        <v>30600</v>
      </c>
      <c r="I1434" s="114">
        <v>32250</v>
      </c>
      <c r="J1434" s="113"/>
    </row>
    <row r="1435" spans="4:10" x14ac:dyDescent="0.3">
      <c r="G1435">
        <v>2100</v>
      </c>
      <c r="H1435" s="114">
        <v>35430</v>
      </c>
      <c r="I1435" s="114">
        <v>37160</v>
      </c>
      <c r="J1435" s="113"/>
    </row>
    <row r="1436" spans="4:10" x14ac:dyDescent="0.3">
      <c r="G1436">
        <v>2400</v>
      </c>
      <c r="H1436" s="114">
        <v>40400</v>
      </c>
      <c r="I1436" s="114">
        <v>42250</v>
      </c>
      <c r="J1436" s="113"/>
    </row>
    <row r="1437" spans="4:10" x14ac:dyDescent="0.3">
      <c r="F1437">
        <v>440</v>
      </c>
      <c r="G1437">
        <v>1800</v>
      </c>
      <c r="H1437" s="114">
        <v>27730</v>
      </c>
      <c r="I1437" s="114">
        <v>29050</v>
      </c>
      <c r="J1437" s="113"/>
    </row>
    <row r="1438" spans="4:10" x14ac:dyDescent="0.3">
      <c r="G1438">
        <v>2100</v>
      </c>
      <c r="H1438" s="114">
        <v>32560</v>
      </c>
      <c r="I1438" s="114">
        <v>33950</v>
      </c>
      <c r="J1438" s="113"/>
    </row>
    <row r="1439" spans="4:10" x14ac:dyDescent="0.3">
      <c r="G1439">
        <v>2400</v>
      </c>
      <c r="H1439" s="114">
        <v>37390</v>
      </c>
      <c r="I1439" s="114">
        <v>38870</v>
      </c>
      <c r="J1439" s="113"/>
    </row>
    <row r="1440" spans="4:10" x14ac:dyDescent="0.3">
      <c r="E1440">
        <v>2400</v>
      </c>
      <c r="F1440">
        <v>600</v>
      </c>
      <c r="G1440">
        <v>1800</v>
      </c>
      <c r="H1440" s="114">
        <v>33320</v>
      </c>
      <c r="I1440" s="114">
        <v>35110</v>
      </c>
      <c r="J1440" s="113"/>
    </row>
    <row r="1441" spans="4:10" x14ac:dyDescent="0.3">
      <c r="G1441">
        <v>2100</v>
      </c>
      <c r="H1441" s="114">
        <v>38730</v>
      </c>
      <c r="I1441" s="114">
        <v>40630</v>
      </c>
      <c r="J1441" s="113"/>
    </row>
    <row r="1442" spans="4:10" x14ac:dyDescent="0.3">
      <c r="G1442">
        <v>2400</v>
      </c>
      <c r="H1442" s="114">
        <v>44020</v>
      </c>
      <c r="I1442" s="114">
        <v>46040</v>
      </c>
      <c r="J1442" s="113"/>
    </row>
    <row r="1443" spans="4:10" x14ac:dyDescent="0.3">
      <c r="F1443">
        <v>440</v>
      </c>
      <c r="G1443">
        <v>1800</v>
      </c>
      <c r="H1443" s="114">
        <v>29550</v>
      </c>
      <c r="I1443" s="114">
        <v>30900</v>
      </c>
      <c r="J1443" s="113"/>
    </row>
    <row r="1444" spans="4:10" x14ac:dyDescent="0.3">
      <c r="G1444">
        <v>2100</v>
      </c>
      <c r="H1444" s="114">
        <v>34740</v>
      </c>
      <c r="I1444" s="114">
        <v>36160</v>
      </c>
      <c r="J1444" s="113"/>
    </row>
    <row r="1445" spans="4:10" x14ac:dyDescent="0.3">
      <c r="G1445">
        <v>2400</v>
      </c>
      <c r="H1445" s="114">
        <v>39890</v>
      </c>
      <c r="I1445" s="114">
        <v>41400</v>
      </c>
      <c r="J1445" s="113"/>
    </row>
    <row r="1446" spans="4:10" x14ac:dyDescent="0.3">
      <c r="D1446" t="s">
        <v>1043</v>
      </c>
      <c r="E1446">
        <v>2200</v>
      </c>
      <c r="F1446">
        <v>600</v>
      </c>
      <c r="G1446">
        <v>1800</v>
      </c>
      <c r="H1446" s="114">
        <v>30600</v>
      </c>
      <c r="I1446" s="114">
        <v>32250</v>
      </c>
      <c r="J1446" s="113"/>
    </row>
    <row r="1447" spans="4:10" x14ac:dyDescent="0.3">
      <c r="G1447">
        <v>2100</v>
      </c>
      <c r="H1447" s="114">
        <v>35430</v>
      </c>
      <c r="I1447" s="114">
        <v>37160</v>
      </c>
      <c r="J1447" s="113"/>
    </row>
    <row r="1448" spans="4:10" x14ac:dyDescent="0.3">
      <c r="G1448">
        <v>2400</v>
      </c>
      <c r="H1448" s="114">
        <v>40400</v>
      </c>
      <c r="I1448" s="114">
        <v>42250</v>
      </c>
      <c r="J1448" s="113"/>
    </row>
    <row r="1449" spans="4:10" x14ac:dyDescent="0.3">
      <c r="F1449">
        <v>440</v>
      </c>
      <c r="G1449">
        <v>1800</v>
      </c>
      <c r="H1449" s="114">
        <v>27730</v>
      </c>
      <c r="I1449" s="114">
        <v>29050</v>
      </c>
      <c r="J1449" s="113"/>
    </row>
    <row r="1450" spans="4:10" x14ac:dyDescent="0.3">
      <c r="G1450">
        <v>2100</v>
      </c>
      <c r="H1450" s="114">
        <v>32560</v>
      </c>
      <c r="I1450" s="114">
        <v>33950</v>
      </c>
      <c r="J1450" s="113"/>
    </row>
    <row r="1451" spans="4:10" x14ac:dyDescent="0.3">
      <c r="G1451">
        <v>2400</v>
      </c>
      <c r="H1451" s="114">
        <v>37390</v>
      </c>
      <c r="I1451" s="114">
        <v>38870</v>
      </c>
      <c r="J1451" s="113"/>
    </row>
    <row r="1452" spans="4:10" x14ac:dyDescent="0.3">
      <c r="E1452">
        <v>2400</v>
      </c>
      <c r="F1452">
        <v>600</v>
      </c>
      <c r="G1452">
        <v>1800</v>
      </c>
      <c r="H1452" s="114">
        <v>33320</v>
      </c>
      <c r="I1452" s="114">
        <v>35110</v>
      </c>
      <c r="J1452" s="113"/>
    </row>
    <row r="1453" spans="4:10" x14ac:dyDescent="0.3">
      <c r="G1453">
        <v>2100</v>
      </c>
      <c r="H1453" s="114">
        <v>38730</v>
      </c>
      <c r="I1453" s="114">
        <v>40630</v>
      </c>
      <c r="J1453" s="113"/>
    </row>
    <row r="1454" spans="4:10" x14ac:dyDescent="0.3">
      <c r="G1454">
        <v>2400</v>
      </c>
      <c r="H1454" s="114">
        <v>44020</v>
      </c>
      <c r="I1454" s="114">
        <v>46040</v>
      </c>
      <c r="J1454" s="113"/>
    </row>
    <row r="1455" spans="4:10" x14ac:dyDescent="0.3">
      <c r="F1455">
        <v>440</v>
      </c>
      <c r="G1455">
        <v>1800</v>
      </c>
      <c r="H1455" s="114">
        <v>29550</v>
      </c>
      <c r="I1455" s="114">
        <v>30900</v>
      </c>
      <c r="J1455" s="113"/>
    </row>
    <row r="1456" spans="4:10" x14ac:dyDescent="0.3">
      <c r="G1456">
        <v>2100</v>
      </c>
      <c r="H1456" s="114">
        <v>34740</v>
      </c>
      <c r="I1456" s="114">
        <v>36160</v>
      </c>
      <c r="J1456" s="113"/>
    </row>
    <row r="1457" spans="2:10" x14ac:dyDescent="0.3">
      <c r="G1457">
        <v>2400</v>
      </c>
      <c r="H1457" s="114">
        <v>39890</v>
      </c>
      <c r="I1457" s="114">
        <v>41400</v>
      </c>
      <c r="J1457" s="113"/>
    </row>
    <row r="1458" spans="2:10" x14ac:dyDescent="0.3">
      <c r="B1458" t="s">
        <v>281</v>
      </c>
      <c r="C1458" t="s">
        <v>816</v>
      </c>
      <c r="D1458" t="s">
        <v>282</v>
      </c>
      <c r="E1458">
        <v>1600</v>
      </c>
      <c r="F1458">
        <v>2200</v>
      </c>
      <c r="G1458">
        <v>660</v>
      </c>
      <c r="H1458" s="114">
        <v>147880</v>
      </c>
      <c r="I1458" s="114">
        <v>77020</v>
      </c>
      <c r="J1458" s="113"/>
    </row>
    <row r="1459" spans="2:10" x14ac:dyDescent="0.3">
      <c r="F1459">
        <v>2400</v>
      </c>
      <c r="G1459">
        <v>660</v>
      </c>
      <c r="H1459" s="114">
        <v>87020</v>
      </c>
      <c r="I1459" s="114">
        <v>91480</v>
      </c>
      <c r="J1459" s="113"/>
    </row>
    <row r="1460" spans="2:10" x14ac:dyDescent="0.3">
      <c r="E1460">
        <v>1800</v>
      </c>
      <c r="F1460">
        <v>2200</v>
      </c>
      <c r="G1460">
        <v>660</v>
      </c>
      <c r="H1460" s="114">
        <v>43240</v>
      </c>
      <c r="I1460" s="114">
        <v>80980</v>
      </c>
      <c r="J1460" s="113"/>
    </row>
    <row r="1461" spans="2:10" x14ac:dyDescent="0.3">
      <c r="F1461">
        <v>2400</v>
      </c>
      <c r="G1461">
        <v>660</v>
      </c>
      <c r="H1461" s="114">
        <v>49760</v>
      </c>
      <c r="I1461" s="114">
        <v>95440</v>
      </c>
      <c r="J1461" s="113"/>
    </row>
    <row r="1462" spans="2:10" x14ac:dyDescent="0.3">
      <c r="E1462">
        <v>2000</v>
      </c>
      <c r="F1462">
        <v>2200</v>
      </c>
      <c r="G1462">
        <v>660</v>
      </c>
      <c r="H1462" s="114">
        <v>80500</v>
      </c>
      <c r="I1462" s="114">
        <v>84960</v>
      </c>
      <c r="J1462" s="113"/>
    </row>
    <row r="1463" spans="2:10" x14ac:dyDescent="0.3">
      <c r="F1463">
        <v>2400</v>
      </c>
      <c r="G1463">
        <v>660</v>
      </c>
      <c r="H1463" s="114">
        <v>94100</v>
      </c>
      <c r="I1463" s="114">
        <v>99420</v>
      </c>
      <c r="J1463" s="113"/>
    </row>
    <row r="1464" spans="2:10" x14ac:dyDescent="0.3">
      <c r="D1464" t="s">
        <v>283</v>
      </c>
      <c r="E1464">
        <v>1600</v>
      </c>
      <c r="F1464">
        <v>2200</v>
      </c>
      <c r="G1464">
        <v>660</v>
      </c>
      <c r="H1464" s="114">
        <v>48540</v>
      </c>
      <c r="I1464" s="114">
        <v>52800</v>
      </c>
      <c r="J1464" s="113"/>
    </row>
    <row r="1465" spans="2:10" x14ac:dyDescent="0.3">
      <c r="F1465">
        <v>2400</v>
      </c>
      <c r="G1465">
        <v>660</v>
      </c>
      <c r="H1465" s="114">
        <v>56520</v>
      </c>
      <c r="I1465" s="114">
        <v>61620</v>
      </c>
      <c r="J1465" s="113"/>
    </row>
    <row r="1466" spans="2:10" x14ac:dyDescent="0.3">
      <c r="E1466">
        <v>1800</v>
      </c>
      <c r="F1466">
        <v>2200</v>
      </c>
      <c r="G1466">
        <v>660</v>
      </c>
      <c r="H1466" s="114">
        <v>52070</v>
      </c>
      <c r="I1466" s="114">
        <v>56760</v>
      </c>
      <c r="J1466" s="113"/>
    </row>
    <row r="1467" spans="2:10" x14ac:dyDescent="0.3">
      <c r="F1467">
        <v>2400</v>
      </c>
      <c r="G1467">
        <v>660</v>
      </c>
      <c r="H1467" s="114">
        <v>60050</v>
      </c>
      <c r="I1467" s="114">
        <v>65580</v>
      </c>
      <c r="J1467" s="113"/>
    </row>
    <row r="1468" spans="2:10" x14ac:dyDescent="0.3">
      <c r="E1468">
        <v>2000</v>
      </c>
      <c r="F1468">
        <v>2200</v>
      </c>
      <c r="G1468">
        <v>660</v>
      </c>
      <c r="H1468" s="114">
        <v>55640</v>
      </c>
      <c r="I1468" s="114">
        <v>60740</v>
      </c>
      <c r="J1468" s="113"/>
    </row>
    <row r="1469" spans="2:10" x14ac:dyDescent="0.3">
      <c r="F1469">
        <v>2400</v>
      </c>
      <c r="G1469">
        <v>660</v>
      </c>
      <c r="H1469" s="114">
        <v>63600</v>
      </c>
      <c r="I1469" s="114">
        <v>69560</v>
      </c>
      <c r="J1469" s="113"/>
    </row>
    <row r="1470" spans="2:10" x14ac:dyDescent="0.3">
      <c r="D1470" t="s">
        <v>284</v>
      </c>
      <c r="E1470">
        <v>1600</v>
      </c>
      <c r="F1470">
        <v>2200</v>
      </c>
      <c r="G1470">
        <v>660</v>
      </c>
      <c r="H1470" s="114">
        <v>73400</v>
      </c>
      <c r="I1470" s="114">
        <v>77020</v>
      </c>
      <c r="J1470" s="113"/>
    </row>
    <row r="1471" spans="2:10" x14ac:dyDescent="0.3">
      <c r="F1471">
        <v>2400</v>
      </c>
      <c r="G1471">
        <v>660</v>
      </c>
      <c r="H1471" s="114">
        <v>87020</v>
      </c>
      <c r="I1471" s="114">
        <v>91480</v>
      </c>
      <c r="J1471" s="113"/>
    </row>
    <row r="1472" spans="2:10" x14ac:dyDescent="0.3">
      <c r="E1472">
        <v>1800</v>
      </c>
      <c r="F1472">
        <v>2200</v>
      </c>
      <c r="G1472">
        <v>660</v>
      </c>
      <c r="H1472" s="114">
        <v>76930</v>
      </c>
      <c r="I1472" s="114">
        <v>80980</v>
      </c>
      <c r="J1472" s="113"/>
    </row>
    <row r="1473" spans="4:10" x14ac:dyDescent="0.3">
      <c r="F1473">
        <v>2400</v>
      </c>
      <c r="G1473">
        <v>660</v>
      </c>
      <c r="H1473" s="114">
        <v>90550</v>
      </c>
      <c r="I1473" s="114">
        <v>95440</v>
      </c>
      <c r="J1473" s="113"/>
    </row>
    <row r="1474" spans="4:10" x14ac:dyDescent="0.3">
      <c r="E1474">
        <v>2000</v>
      </c>
      <c r="F1474">
        <v>2200</v>
      </c>
      <c r="G1474">
        <v>660</v>
      </c>
      <c r="H1474" s="114">
        <v>80500</v>
      </c>
      <c r="I1474" s="114">
        <v>84960</v>
      </c>
      <c r="J1474" s="113"/>
    </row>
    <row r="1475" spans="4:10" x14ac:dyDescent="0.3">
      <c r="F1475">
        <v>2400</v>
      </c>
      <c r="G1475">
        <v>660</v>
      </c>
      <c r="H1475" s="114">
        <v>94100</v>
      </c>
      <c r="I1475" s="114">
        <v>99420</v>
      </c>
      <c r="J1475" s="113"/>
    </row>
    <row r="1476" spans="4:10" x14ac:dyDescent="0.3">
      <c r="D1476" t="s">
        <v>285</v>
      </c>
      <c r="E1476">
        <v>1600</v>
      </c>
      <c r="F1476">
        <v>2200</v>
      </c>
      <c r="G1476">
        <v>660</v>
      </c>
      <c r="H1476" s="114">
        <v>53860</v>
      </c>
      <c r="I1476" s="114">
        <v>57480</v>
      </c>
      <c r="J1476" s="113"/>
    </row>
    <row r="1477" spans="4:10" x14ac:dyDescent="0.3">
      <c r="F1477">
        <v>2400</v>
      </c>
      <c r="G1477">
        <v>660</v>
      </c>
      <c r="H1477" s="114">
        <v>62440</v>
      </c>
      <c r="I1477" s="114">
        <v>66900</v>
      </c>
      <c r="J1477" s="113"/>
    </row>
    <row r="1478" spans="4:10" x14ac:dyDescent="0.3">
      <c r="E1478">
        <v>1800</v>
      </c>
      <c r="F1478">
        <v>2200</v>
      </c>
      <c r="G1478">
        <v>660</v>
      </c>
      <c r="H1478" s="114">
        <v>57390</v>
      </c>
      <c r="I1478" s="114">
        <v>61440</v>
      </c>
      <c r="J1478" s="113"/>
    </row>
    <row r="1479" spans="4:10" x14ac:dyDescent="0.3">
      <c r="F1479">
        <v>2400</v>
      </c>
      <c r="G1479">
        <v>660</v>
      </c>
      <c r="H1479" s="114">
        <v>65970</v>
      </c>
      <c r="I1479" s="114">
        <v>70860</v>
      </c>
      <c r="J1479" s="113"/>
    </row>
    <row r="1480" spans="4:10" x14ac:dyDescent="0.3">
      <c r="E1480">
        <v>2000</v>
      </c>
      <c r="F1480">
        <v>2200</v>
      </c>
      <c r="G1480">
        <v>660</v>
      </c>
      <c r="H1480" s="114">
        <v>60960</v>
      </c>
      <c r="I1480" s="114">
        <v>65420</v>
      </c>
      <c r="J1480" s="113"/>
    </row>
    <row r="1481" spans="4:10" x14ac:dyDescent="0.3">
      <c r="F1481">
        <v>2400</v>
      </c>
      <c r="G1481">
        <v>660</v>
      </c>
      <c r="H1481" s="114">
        <v>69520</v>
      </c>
      <c r="I1481" s="114">
        <v>74840</v>
      </c>
      <c r="J1481" s="113"/>
    </row>
    <row r="1482" spans="4:10" x14ac:dyDescent="0.3">
      <c r="D1482" t="s">
        <v>286</v>
      </c>
      <c r="E1482">
        <v>1600</v>
      </c>
      <c r="F1482">
        <v>2200</v>
      </c>
      <c r="G1482">
        <v>660</v>
      </c>
      <c r="H1482" s="114">
        <v>62460</v>
      </c>
      <c r="I1482" s="114">
        <v>66080</v>
      </c>
      <c r="J1482" s="113"/>
    </row>
    <row r="1483" spans="4:10" x14ac:dyDescent="0.3">
      <c r="F1483">
        <v>2400</v>
      </c>
      <c r="G1483">
        <v>660</v>
      </c>
      <c r="H1483" s="114">
        <v>73420</v>
      </c>
      <c r="I1483" s="114">
        <v>77880</v>
      </c>
      <c r="J1483" s="113"/>
    </row>
    <row r="1484" spans="4:10" x14ac:dyDescent="0.3">
      <c r="E1484">
        <v>1800</v>
      </c>
      <c r="F1484">
        <v>2200</v>
      </c>
      <c r="G1484">
        <v>660</v>
      </c>
      <c r="H1484" s="114">
        <v>65990</v>
      </c>
      <c r="I1484" s="114">
        <v>70040</v>
      </c>
      <c r="J1484" s="113"/>
    </row>
    <row r="1485" spans="4:10" x14ac:dyDescent="0.3">
      <c r="F1485">
        <v>2400</v>
      </c>
      <c r="G1485">
        <v>660</v>
      </c>
      <c r="H1485" s="114">
        <v>76950</v>
      </c>
      <c r="I1485" s="114">
        <v>81840</v>
      </c>
      <c r="J1485" s="113"/>
    </row>
    <row r="1486" spans="4:10" x14ac:dyDescent="0.3">
      <c r="E1486">
        <v>2000</v>
      </c>
      <c r="F1486">
        <v>2200</v>
      </c>
      <c r="G1486">
        <v>660</v>
      </c>
      <c r="H1486" s="114">
        <v>69560</v>
      </c>
      <c r="I1486" s="114">
        <v>74020</v>
      </c>
      <c r="J1486" s="113"/>
    </row>
    <row r="1487" spans="4:10" x14ac:dyDescent="0.3">
      <c r="F1487">
        <v>2400</v>
      </c>
      <c r="G1487">
        <v>660</v>
      </c>
      <c r="H1487" s="114">
        <v>80500</v>
      </c>
      <c r="I1487" s="114">
        <v>85820</v>
      </c>
      <c r="J1487" s="113"/>
    </row>
    <row r="1488" spans="4:10" x14ac:dyDescent="0.3">
      <c r="D1488" t="s">
        <v>287</v>
      </c>
      <c r="E1488">
        <v>1600</v>
      </c>
      <c r="F1488">
        <v>2200</v>
      </c>
      <c r="G1488">
        <v>660</v>
      </c>
      <c r="H1488" s="114">
        <v>62460</v>
      </c>
      <c r="I1488" s="114">
        <v>66080</v>
      </c>
      <c r="J1488" s="113"/>
    </row>
    <row r="1489" spans="4:10" x14ac:dyDescent="0.3">
      <c r="F1489">
        <v>2400</v>
      </c>
      <c r="G1489">
        <v>660</v>
      </c>
      <c r="H1489" s="114">
        <v>73420</v>
      </c>
      <c r="I1489" s="114">
        <v>77880</v>
      </c>
      <c r="J1489" s="113"/>
    </row>
    <row r="1490" spans="4:10" x14ac:dyDescent="0.3">
      <c r="E1490">
        <v>1800</v>
      </c>
      <c r="F1490">
        <v>2200</v>
      </c>
      <c r="G1490">
        <v>660</v>
      </c>
      <c r="H1490" s="114">
        <v>65990</v>
      </c>
      <c r="I1490" s="114">
        <v>70040</v>
      </c>
      <c r="J1490" s="113"/>
    </row>
    <row r="1491" spans="4:10" x14ac:dyDescent="0.3">
      <c r="F1491">
        <v>2400</v>
      </c>
      <c r="G1491">
        <v>660</v>
      </c>
      <c r="H1491" s="114">
        <v>76950</v>
      </c>
      <c r="I1491" s="114">
        <v>81840</v>
      </c>
      <c r="J1491" s="113"/>
    </row>
    <row r="1492" spans="4:10" x14ac:dyDescent="0.3">
      <c r="E1492">
        <v>2000</v>
      </c>
      <c r="F1492">
        <v>2200</v>
      </c>
      <c r="G1492">
        <v>660</v>
      </c>
      <c r="H1492" s="114">
        <v>69560</v>
      </c>
      <c r="I1492" s="114">
        <v>74020</v>
      </c>
      <c r="J1492" s="113"/>
    </row>
    <row r="1493" spans="4:10" x14ac:dyDescent="0.3">
      <c r="F1493">
        <v>2400</v>
      </c>
      <c r="G1493">
        <v>660</v>
      </c>
      <c r="H1493" s="114">
        <v>80500</v>
      </c>
      <c r="I1493" s="114">
        <v>85820</v>
      </c>
      <c r="J1493" s="113"/>
    </row>
    <row r="1494" spans="4:10" x14ac:dyDescent="0.3">
      <c r="D1494" t="s">
        <v>288</v>
      </c>
      <c r="E1494">
        <v>1600</v>
      </c>
      <c r="F1494">
        <v>2200</v>
      </c>
      <c r="G1494">
        <v>660</v>
      </c>
      <c r="H1494" s="114">
        <v>64800</v>
      </c>
      <c r="I1494" s="114">
        <v>68420</v>
      </c>
      <c r="J1494" s="113"/>
    </row>
    <row r="1495" spans="4:10" x14ac:dyDescent="0.3">
      <c r="F1495">
        <v>2400</v>
      </c>
      <c r="G1495">
        <v>660</v>
      </c>
      <c r="H1495" s="114">
        <v>76040</v>
      </c>
      <c r="I1495" s="114">
        <v>80500</v>
      </c>
      <c r="J1495" s="113"/>
    </row>
    <row r="1496" spans="4:10" x14ac:dyDescent="0.3">
      <c r="E1496">
        <v>1800</v>
      </c>
      <c r="F1496">
        <v>2200</v>
      </c>
      <c r="G1496">
        <v>660</v>
      </c>
      <c r="H1496" s="114">
        <v>68330</v>
      </c>
      <c r="I1496" s="114">
        <v>72380</v>
      </c>
      <c r="J1496" s="113"/>
    </row>
    <row r="1497" spans="4:10" x14ac:dyDescent="0.3">
      <c r="F1497">
        <v>2400</v>
      </c>
      <c r="G1497">
        <v>660</v>
      </c>
      <c r="H1497" s="114">
        <v>79570</v>
      </c>
      <c r="I1497" s="114">
        <v>84460</v>
      </c>
      <c r="J1497" s="113"/>
    </row>
    <row r="1498" spans="4:10" x14ac:dyDescent="0.3">
      <c r="E1498">
        <v>2000</v>
      </c>
      <c r="F1498">
        <v>2200</v>
      </c>
      <c r="G1498">
        <v>660</v>
      </c>
      <c r="H1498" s="114">
        <v>71900</v>
      </c>
      <c r="I1498" s="114">
        <v>76360</v>
      </c>
      <c r="J1498" s="113"/>
    </row>
    <row r="1499" spans="4:10" x14ac:dyDescent="0.3">
      <c r="F1499">
        <v>2400</v>
      </c>
      <c r="G1499">
        <v>660</v>
      </c>
      <c r="H1499" s="114">
        <v>83120</v>
      </c>
      <c r="I1499" s="114">
        <v>88440</v>
      </c>
      <c r="J1499" s="113"/>
    </row>
    <row r="1500" spans="4:10" x14ac:dyDescent="0.3">
      <c r="D1500" t="s">
        <v>289</v>
      </c>
      <c r="E1500">
        <v>1600</v>
      </c>
      <c r="F1500">
        <v>2200</v>
      </c>
      <c r="G1500">
        <v>660</v>
      </c>
      <c r="H1500" s="114">
        <v>73400</v>
      </c>
      <c r="I1500" s="114">
        <v>77020</v>
      </c>
      <c r="J1500" s="113"/>
    </row>
    <row r="1501" spans="4:10" x14ac:dyDescent="0.3">
      <c r="F1501">
        <v>2400</v>
      </c>
      <c r="G1501">
        <v>660</v>
      </c>
      <c r="H1501" s="114">
        <v>87020</v>
      </c>
      <c r="I1501" s="114">
        <v>91480</v>
      </c>
      <c r="J1501" s="113"/>
    </row>
    <row r="1502" spans="4:10" x14ac:dyDescent="0.3">
      <c r="E1502">
        <v>1800</v>
      </c>
      <c r="F1502">
        <v>2200</v>
      </c>
      <c r="G1502">
        <v>660</v>
      </c>
      <c r="H1502" s="114">
        <v>76930</v>
      </c>
      <c r="I1502" s="114">
        <v>80980</v>
      </c>
      <c r="J1502" s="113"/>
    </row>
    <row r="1503" spans="4:10" x14ac:dyDescent="0.3">
      <c r="F1503">
        <v>2400</v>
      </c>
      <c r="G1503">
        <v>660</v>
      </c>
      <c r="H1503" s="114">
        <v>90550</v>
      </c>
      <c r="I1503" s="114">
        <v>95440</v>
      </c>
      <c r="J1503" s="113"/>
    </row>
    <row r="1504" spans="4:10" x14ac:dyDescent="0.3">
      <c r="E1504">
        <v>2000</v>
      </c>
      <c r="F1504">
        <v>2200</v>
      </c>
      <c r="G1504">
        <v>660</v>
      </c>
      <c r="H1504" s="114">
        <v>80500</v>
      </c>
      <c r="I1504" s="114">
        <v>84960</v>
      </c>
      <c r="J1504" s="113"/>
    </row>
    <row r="1505" spans="4:10" x14ac:dyDescent="0.3">
      <c r="F1505">
        <v>2400</v>
      </c>
      <c r="G1505">
        <v>660</v>
      </c>
      <c r="H1505" s="114">
        <v>94100</v>
      </c>
      <c r="I1505" s="114">
        <v>99420</v>
      </c>
      <c r="J1505" s="113"/>
    </row>
    <row r="1506" spans="4:10" x14ac:dyDescent="0.3">
      <c r="D1506" t="s">
        <v>290</v>
      </c>
      <c r="E1506">
        <v>1600</v>
      </c>
      <c r="F1506">
        <v>2200</v>
      </c>
      <c r="G1506">
        <v>660</v>
      </c>
      <c r="H1506" s="114">
        <v>64800</v>
      </c>
      <c r="I1506" s="114">
        <v>68420</v>
      </c>
      <c r="J1506" s="113"/>
    </row>
    <row r="1507" spans="4:10" x14ac:dyDescent="0.3">
      <c r="F1507">
        <v>2400</v>
      </c>
      <c r="G1507">
        <v>660</v>
      </c>
      <c r="H1507" s="114">
        <v>76040</v>
      </c>
      <c r="I1507" s="114">
        <v>80500</v>
      </c>
      <c r="J1507" s="113"/>
    </row>
    <row r="1508" spans="4:10" x14ac:dyDescent="0.3">
      <c r="E1508">
        <v>1800</v>
      </c>
      <c r="F1508">
        <v>2200</v>
      </c>
      <c r="G1508">
        <v>660</v>
      </c>
      <c r="H1508" s="114">
        <v>68330</v>
      </c>
      <c r="I1508" s="114">
        <v>72380</v>
      </c>
      <c r="J1508" s="113"/>
    </row>
    <row r="1509" spans="4:10" x14ac:dyDescent="0.3">
      <c r="F1509">
        <v>2400</v>
      </c>
      <c r="G1509">
        <v>660</v>
      </c>
      <c r="H1509" s="114">
        <v>79570</v>
      </c>
      <c r="I1509" s="114">
        <v>84460</v>
      </c>
      <c r="J1509" s="113"/>
    </row>
    <row r="1510" spans="4:10" x14ac:dyDescent="0.3">
      <c r="E1510">
        <v>2000</v>
      </c>
      <c r="F1510">
        <v>2200</v>
      </c>
      <c r="G1510">
        <v>660</v>
      </c>
      <c r="H1510" s="114">
        <v>71900</v>
      </c>
      <c r="I1510" s="114">
        <v>76360</v>
      </c>
      <c r="J1510" s="113"/>
    </row>
    <row r="1511" spans="4:10" x14ac:dyDescent="0.3">
      <c r="F1511">
        <v>2400</v>
      </c>
      <c r="G1511">
        <v>660</v>
      </c>
      <c r="H1511" s="114">
        <v>83120</v>
      </c>
      <c r="I1511" s="114">
        <v>88440</v>
      </c>
      <c r="J1511" s="113"/>
    </row>
    <row r="1512" spans="4:10" x14ac:dyDescent="0.3">
      <c r="D1512" t="s">
        <v>291</v>
      </c>
      <c r="E1512">
        <v>1600</v>
      </c>
      <c r="F1512">
        <v>2200</v>
      </c>
      <c r="G1512">
        <v>660</v>
      </c>
      <c r="H1512" s="114">
        <v>53860</v>
      </c>
      <c r="I1512" s="114">
        <v>57480</v>
      </c>
      <c r="J1512" s="113"/>
    </row>
    <row r="1513" spans="4:10" x14ac:dyDescent="0.3">
      <c r="F1513">
        <v>2400</v>
      </c>
      <c r="G1513">
        <v>660</v>
      </c>
      <c r="H1513" s="114">
        <v>62440</v>
      </c>
      <c r="I1513" s="114">
        <v>66900</v>
      </c>
      <c r="J1513" s="113"/>
    </row>
    <row r="1514" spans="4:10" x14ac:dyDescent="0.3">
      <c r="E1514">
        <v>1800</v>
      </c>
      <c r="F1514">
        <v>2200</v>
      </c>
      <c r="G1514">
        <v>660</v>
      </c>
      <c r="H1514" s="114">
        <v>57390</v>
      </c>
      <c r="I1514" s="114">
        <v>61440</v>
      </c>
      <c r="J1514" s="113"/>
    </row>
    <row r="1515" spans="4:10" x14ac:dyDescent="0.3">
      <c r="F1515">
        <v>2400</v>
      </c>
      <c r="G1515">
        <v>660</v>
      </c>
      <c r="H1515" s="114">
        <v>65970</v>
      </c>
      <c r="I1515" s="114">
        <v>70860</v>
      </c>
      <c r="J1515" s="113"/>
    </row>
    <row r="1516" spans="4:10" x14ac:dyDescent="0.3">
      <c r="E1516">
        <v>2000</v>
      </c>
      <c r="F1516">
        <v>2200</v>
      </c>
      <c r="G1516">
        <v>660</v>
      </c>
      <c r="H1516" s="114">
        <v>60960</v>
      </c>
      <c r="I1516" s="114">
        <v>65420</v>
      </c>
      <c r="J1516" s="113"/>
    </row>
    <row r="1517" spans="4:10" x14ac:dyDescent="0.3">
      <c r="F1517">
        <v>2400</v>
      </c>
      <c r="G1517">
        <v>660</v>
      </c>
      <c r="H1517" s="114">
        <v>69520</v>
      </c>
      <c r="I1517" s="114">
        <v>74840</v>
      </c>
      <c r="J1517" s="113"/>
    </row>
    <row r="1518" spans="4:10" x14ac:dyDescent="0.3">
      <c r="D1518" t="s">
        <v>292</v>
      </c>
      <c r="E1518">
        <v>1600</v>
      </c>
      <c r="F1518">
        <v>2200</v>
      </c>
      <c r="G1518">
        <v>660</v>
      </c>
      <c r="H1518" s="114">
        <v>62460</v>
      </c>
      <c r="I1518" s="114">
        <v>66080</v>
      </c>
      <c r="J1518" s="113"/>
    </row>
    <row r="1519" spans="4:10" x14ac:dyDescent="0.3">
      <c r="F1519">
        <v>2400</v>
      </c>
      <c r="G1519">
        <v>660</v>
      </c>
      <c r="H1519" s="114">
        <v>73420</v>
      </c>
      <c r="I1519" s="114">
        <v>77880</v>
      </c>
      <c r="J1519" s="113"/>
    </row>
    <row r="1520" spans="4:10" x14ac:dyDescent="0.3">
      <c r="E1520">
        <v>1800</v>
      </c>
      <c r="F1520">
        <v>2200</v>
      </c>
      <c r="G1520">
        <v>660</v>
      </c>
      <c r="H1520" s="114">
        <v>65990</v>
      </c>
      <c r="I1520" s="114">
        <v>70040</v>
      </c>
      <c r="J1520" s="113"/>
    </row>
    <row r="1521" spans="4:10" x14ac:dyDescent="0.3">
      <c r="F1521">
        <v>2400</v>
      </c>
      <c r="G1521">
        <v>660</v>
      </c>
      <c r="H1521" s="114">
        <v>76950</v>
      </c>
      <c r="I1521" s="114">
        <v>81840</v>
      </c>
      <c r="J1521" s="113"/>
    </row>
    <row r="1522" spans="4:10" x14ac:dyDescent="0.3">
      <c r="E1522">
        <v>2000</v>
      </c>
      <c r="F1522">
        <v>2200</v>
      </c>
      <c r="G1522">
        <v>660</v>
      </c>
      <c r="H1522" s="114">
        <v>69560</v>
      </c>
      <c r="I1522" s="114">
        <v>74020</v>
      </c>
      <c r="J1522" s="113"/>
    </row>
    <row r="1523" spans="4:10" x14ac:dyDescent="0.3">
      <c r="F1523">
        <v>2400</v>
      </c>
      <c r="G1523">
        <v>660</v>
      </c>
      <c r="H1523" s="114">
        <v>80500</v>
      </c>
      <c r="I1523" s="114">
        <v>85820</v>
      </c>
      <c r="J1523" s="113"/>
    </row>
    <row r="1524" spans="4:10" x14ac:dyDescent="0.3">
      <c r="D1524" t="s">
        <v>293</v>
      </c>
      <c r="E1524">
        <v>1600</v>
      </c>
      <c r="F1524">
        <v>2200</v>
      </c>
      <c r="G1524">
        <v>660</v>
      </c>
      <c r="H1524" s="114">
        <v>62460</v>
      </c>
      <c r="I1524" s="114">
        <v>66080</v>
      </c>
      <c r="J1524" s="113"/>
    </row>
    <row r="1525" spans="4:10" x14ac:dyDescent="0.3">
      <c r="F1525">
        <v>2400</v>
      </c>
      <c r="G1525">
        <v>660</v>
      </c>
      <c r="H1525" s="114">
        <v>73420</v>
      </c>
      <c r="I1525" s="114">
        <v>77880</v>
      </c>
      <c r="J1525" s="113"/>
    </row>
    <row r="1526" spans="4:10" x14ac:dyDescent="0.3">
      <c r="E1526">
        <v>1800</v>
      </c>
      <c r="F1526">
        <v>2200</v>
      </c>
      <c r="G1526">
        <v>660</v>
      </c>
      <c r="H1526" s="114">
        <v>65990</v>
      </c>
      <c r="I1526" s="114">
        <v>70040</v>
      </c>
      <c r="J1526" s="113"/>
    </row>
    <row r="1527" spans="4:10" x14ac:dyDescent="0.3">
      <c r="F1527">
        <v>2400</v>
      </c>
      <c r="G1527">
        <v>660</v>
      </c>
      <c r="H1527" s="114">
        <v>76950</v>
      </c>
      <c r="I1527" s="114">
        <v>81840</v>
      </c>
      <c r="J1527" s="113"/>
    </row>
    <row r="1528" spans="4:10" x14ac:dyDescent="0.3">
      <c r="E1528">
        <v>2000</v>
      </c>
      <c r="F1528">
        <v>2200</v>
      </c>
      <c r="G1528">
        <v>660</v>
      </c>
      <c r="H1528" s="114">
        <v>69560</v>
      </c>
      <c r="I1528" s="114">
        <v>74020</v>
      </c>
      <c r="J1528" s="113"/>
    </row>
    <row r="1529" spans="4:10" x14ac:dyDescent="0.3">
      <c r="F1529">
        <v>2400</v>
      </c>
      <c r="G1529">
        <v>660</v>
      </c>
      <c r="H1529" s="114">
        <v>80500</v>
      </c>
      <c r="I1529" s="114">
        <v>85820</v>
      </c>
      <c r="J1529" s="113"/>
    </row>
    <row r="1530" spans="4:10" x14ac:dyDescent="0.3">
      <c r="D1530" t="s">
        <v>294</v>
      </c>
      <c r="E1530">
        <v>1600</v>
      </c>
      <c r="F1530">
        <v>2200</v>
      </c>
      <c r="G1530">
        <v>660</v>
      </c>
      <c r="H1530" s="114">
        <v>62460</v>
      </c>
      <c r="I1530" s="114">
        <v>66080</v>
      </c>
      <c r="J1530" s="113"/>
    </row>
    <row r="1531" spans="4:10" x14ac:dyDescent="0.3">
      <c r="F1531">
        <v>2400</v>
      </c>
      <c r="G1531">
        <v>660</v>
      </c>
      <c r="H1531" s="114">
        <v>73420</v>
      </c>
      <c r="I1531" s="114">
        <v>77880</v>
      </c>
      <c r="J1531" s="113"/>
    </row>
    <row r="1532" spans="4:10" x14ac:dyDescent="0.3">
      <c r="E1532">
        <v>1800</v>
      </c>
      <c r="F1532">
        <v>2200</v>
      </c>
      <c r="G1532">
        <v>660</v>
      </c>
      <c r="H1532" s="114">
        <v>65990</v>
      </c>
      <c r="I1532" s="114">
        <v>70040</v>
      </c>
      <c r="J1532" s="113"/>
    </row>
    <row r="1533" spans="4:10" x14ac:dyDescent="0.3">
      <c r="F1533">
        <v>2400</v>
      </c>
      <c r="G1533">
        <v>660</v>
      </c>
      <c r="H1533" s="114">
        <v>76950</v>
      </c>
      <c r="I1533" s="114">
        <v>81840</v>
      </c>
      <c r="J1533" s="113"/>
    </row>
    <row r="1534" spans="4:10" x14ac:dyDescent="0.3">
      <c r="E1534">
        <v>2000</v>
      </c>
      <c r="F1534">
        <v>2200</v>
      </c>
      <c r="G1534">
        <v>660</v>
      </c>
      <c r="H1534" s="114">
        <v>69560</v>
      </c>
      <c r="I1534" s="114">
        <v>74020</v>
      </c>
      <c r="J1534" s="113"/>
    </row>
    <row r="1535" spans="4:10" x14ac:dyDescent="0.3">
      <c r="F1535">
        <v>2400</v>
      </c>
      <c r="G1535">
        <v>660</v>
      </c>
      <c r="H1535" s="114">
        <v>80500</v>
      </c>
      <c r="I1535" s="114">
        <v>85820</v>
      </c>
      <c r="J1535" s="113"/>
    </row>
    <row r="1536" spans="4:10" x14ac:dyDescent="0.3">
      <c r="D1536" t="s">
        <v>295</v>
      </c>
      <c r="E1536">
        <v>1600</v>
      </c>
      <c r="F1536">
        <v>2200</v>
      </c>
      <c r="G1536">
        <v>660</v>
      </c>
      <c r="H1536" s="114">
        <v>46200</v>
      </c>
      <c r="I1536" s="114">
        <v>50460</v>
      </c>
      <c r="J1536" s="113"/>
    </row>
    <row r="1537" spans="4:10" x14ac:dyDescent="0.3">
      <c r="F1537">
        <v>2400</v>
      </c>
      <c r="G1537">
        <v>660</v>
      </c>
      <c r="H1537" s="114">
        <v>53900</v>
      </c>
      <c r="I1537" s="114">
        <v>59000</v>
      </c>
      <c r="J1537" s="113"/>
    </row>
    <row r="1538" spans="4:10" x14ac:dyDescent="0.3">
      <c r="E1538">
        <v>1800</v>
      </c>
      <c r="F1538">
        <v>2200</v>
      </c>
      <c r="G1538">
        <v>660</v>
      </c>
      <c r="H1538" s="114">
        <v>49730</v>
      </c>
      <c r="I1538" s="114">
        <v>54420</v>
      </c>
      <c r="J1538" s="113"/>
    </row>
    <row r="1539" spans="4:10" x14ac:dyDescent="0.3">
      <c r="F1539">
        <v>2400</v>
      </c>
      <c r="G1539">
        <v>660</v>
      </c>
      <c r="H1539" s="114">
        <v>57430</v>
      </c>
      <c r="I1539" s="114">
        <v>62960</v>
      </c>
      <c r="J1539" s="113"/>
    </row>
    <row r="1540" spans="4:10" x14ac:dyDescent="0.3">
      <c r="E1540">
        <v>2000</v>
      </c>
      <c r="F1540">
        <v>2200</v>
      </c>
      <c r="G1540">
        <v>660</v>
      </c>
      <c r="H1540" s="114">
        <v>53300</v>
      </c>
      <c r="I1540" s="114">
        <v>58400</v>
      </c>
      <c r="J1540" s="113"/>
    </row>
    <row r="1541" spans="4:10" x14ac:dyDescent="0.3">
      <c r="F1541">
        <v>2400</v>
      </c>
      <c r="G1541">
        <v>660</v>
      </c>
      <c r="H1541" s="114">
        <v>60980</v>
      </c>
      <c r="I1541" s="114">
        <v>66940</v>
      </c>
      <c r="J1541" s="113"/>
    </row>
    <row r="1542" spans="4:10" x14ac:dyDescent="0.3">
      <c r="D1542" t="s">
        <v>296</v>
      </c>
      <c r="E1542">
        <v>1600</v>
      </c>
      <c r="F1542">
        <v>2200</v>
      </c>
      <c r="G1542">
        <v>660</v>
      </c>
      <c r="H1542" s="114">
        <v>73400</v>
      </c>
      <c r="I1542" s="114">
        <v>77020</v>
      </c>
      <c r="J1542" s="113"/>
    </row>
    <row r="1543" spans="4:10" x14ac:dyDescent="0.3">
      <c r="F1543">
        <v>2400</v>
      </c>
      <c r="G1543">
        <v>660</v>
      </c>
      <c r="H1543" s="114">
        <v>87020</v>
      </c>
      <c r="I1543" s="114">
        <v>91480</v>
      </c>
      <c r="J1543" s="113"/>
    </row>
    <row r="1544" spans="4:10" x14ac:dyDescent="0.3">
      <c r="E1544">
        <v>1800</v>
      </c>
      <c r="F1544">
        <v>2200</v>
      </c>
      <c r="G1544">
        <v>660</v>
      </c>
      <c r="H1544" s="114">
        <v>76930</v>
      </c>
      <c r="I1544" s="114">
        <v>80980</v>
      </c>
      <c r="J1544" s="113"/>
    </row>
    <row r="1545" spans="4:10" x14ac:dyDescent="0.3">
      <c r="F1545">
        <v>2400</v>
      </c>
      <c r="G1545">
        <v>660</v>
      </c>
      <c r="H1545" s="114">
        <v>90550</v>
      </c>
      <c r="I1545" s="114">
        <v>95440</v>
      </c>
      <c r="J1545" s="113"/>
    </row>
    <row r="1546" spans="4:10" x14ac:dyDescent="0.3">
      <c r="E1546">
        <v>2000</v>
      </c>
      <c r="F1546">
        <v>2200</v>
      </c>
      <c r="G1546">
        <v>660</v>
      </c>
      <c r="H1546" s="114">
        <v>80500</v>
      </c>
      <c r="I1546" s="114">
        <v>84960</v>
      </c>
      <c r="J1546" s="113"/>
    </row>
    <row r="1547" spans="4:10" x14ac:dyDescent="0.3">
      <c r="F1547">
        <v>2400</v>
      </c>
      <c r="G1547">
        <v>660</v>
      </c>
      <c r="H1547" s="114">
        <v>94100</v>
      </c>
      <c r="I1547" s="114">
        <v>99420</v>
      </c>
      <c r="J1547" s="113"/>
    </row>
    <row r="1548" spans="4:10" x14ac:dyDescent="0.3">
      <c r="D1548" t="s">
        <v>297</v>
      </c>
      <c r="E1548">
        <v>1600</v>
      </c>
      <c r="F1548">
        <v>2200</v>
      </c>
      <c r="G1548">
        <v>660</v>
      </c>
      <c r="H1548" s="114">
        <v>73400</v>
      </c>
      <c r="I1548" s="114">
        <v>77020</v>
      </c>
      <c r="J1548" s="113"/>
    </row>
    <row r="1549" spans="4:10" x14ac:dyDescent="0.3">
      <c r="F1549">
        <v>2400</v>
      </c>
      <c r="G1549">
        <v>660</v>
      </c>
      <c r="H1549" s="114">
        <v>87020</v>
      </c>
      <c r="I1549" s="114">
        <v>91480</v>
      </c>
      <c r="J1549" s="113"/>
    </row>
    <row r="1550" spans="4:10" x14ac:dyDescent="0.3">
      <c r="E1550">
        <v>1800</v>
      </c>
      <c r="F1550">
        <v>2200</v>
      </c>
      <c r="G1550">
        <v>660</v>
      </c>
      <c r="H1550" s="114">
        <v>76930</v>
      </c>
      <c r="I1550" s="114">
        <v>80980</v>
      </c>
      <c r="J1550" s="113"/>
    </row>
    <row r="1551" spans="4:10" x14ac:dyDescent="0.3">
      <c r="F1551">
        <v>2400</v>
      </c>
      <c r="G1551">
        <v>660</v>
      </c>
      <c r="H1551" s="114">
        <v>90550</v>
      </c>
      <c r="I1551" s="114">
        <v>95440</v>
      </c>
      <c r="J1551" s="113"/>
    </row>
    <row r="1552" spans="4:10" x14ac:dyDescent="0.3">
      <c r="E1552">
        <v>2000</v>
      </c>
      <c r="F1552">
        <v>2200</v>
      </c>
      <c r="G1552">
        <v>660</v>
      </c>
      <c r="H1552" s="114">
        <v>80500</v>
      </c>
      <c r="I1552" s="114">
        <v>84960</v>
      </c>
      <c r="J1552" s="113"/>
    </row>
    <row r="1553" spans="4:10" x14ac:dyDescent="0.3">
      <c r="F1553">
        <v>2400</v>
      </c>
      <c r="G1553">
        <v>660</v>
      </c>
      <c r="H1553" s="114">
        <v>94100</v>
      </c>
      <c r="I1553" s="114">
        <v>99420</v>
      </c>
      <c r="J1553" s="113"/>
    </row>
    <row r="1554" spans="4:10" x14ac:dyDescent="0.3">
      <c r="D1554" t="s">
        <v>298</v>
      </c>
      <c r="E1554">
        <v>1600</v>
      </c>
      <c r="F1554">
        <v>2200</v>
      </c>
      <c r="G1554">
        <v>660</v>
      </c>
      <c r="H1554" s="114">
        <v>56200</v>
      </c>
      <c r="I1554" s="114">
        <v>59820</v>
      </c>
      <c r="J1554" s="113"/>
    </row>
    <row r="1555" spans="4:10" x14ac:dyDescent="0.3">
      <c r="F1555">
        <v>2400</v>
      </c>
      <c r="G1555">
        <v>660</v>
      </c>
      <c r="H1555" s="114">
        <v>65060</v>
      </c>
      <c r="I1555" s="114">
        <v>69520</v>
      </c>
      <c r="J1555" s="113"/>
    </row>
    <row r="1556" spans="4:10" x14ac:dyDescent="0.3">
      <c r="E1556">
        <v>1800</v>
      </c>
      <c r="F1556">
        <v>2200</v>
      </c>
      <c r="G1556">
        <v>660</v>
      </c>
      <c r="H1556" s="114">
        <v>59730</v>
      </c>
      <c r="I1556" s="114">
        <v>63780</v>
      </c>
      <c r="J1556" s="113"/>
    </row>
    <row r="1557" spans="4:10" x14ac:dyDescent="0.3">
      <c r="F1557">
        <v>2400</v>
      </c>
      <c r="G1557">
        <v>660</v>
      </c>
      <c r="H1557" s="114">
        <v>68590</v>
      </c>
      <c r="I1557" s="114">
        <v>73480</v>
      </c>
      <c r="J1557" s="113"/>
    </row>
    <row r="1558" spans="4:10" x14ac:dyDescent="0.3">
      <c r="E1558">
        <v>2000</v>
      </c>
      <c r="F1558">
        <v>2200</v>
      </c>
      <c r="G1558">
        <v>660</v>
      </c>
      <c r="H1558" s="114">
        <v>63300</v>
      </c>
      <c r="I1558" s="114">
        <v>67760</v>
      </c>
      <c r="J1558" s="113"/>
    </row>
    <row r="1559" spans="4:10" x14ac:dyDescent="0.3">
      <c r="F1559">
        <v>2400</v>
      </c>
      <c r="G1559">
        <v>660</v>
      </c>
      <c r="H1559" s="114">
        <v>72140</v>
      </c>
      <c r="I1559" s="114">
        <v>77460</v>
      </c>
      <c r="J1559" s="113"/>
    </row>
    <row r="1560" spans="4:10" x14ac:dyDescent="0.3">
      <c r="D1560" t="s">
        <v>299</v>
      </c>
      <c r="E1560">
        <v>1600</v>
      </c>
      <c r="F1560">
        <v>2200</v>
      </c>
      <c r="G1560">
        <v>660</v>
      </c>
      <c r="H1560" s="114">
        <v>62460</v>
      </c>
      <c r="I1560" s="114">
        <v>66080</v>
      </c>
      <c r="J1560" s="113"/>
    </row>
    <row r="1561" spans="4:10" x14ac:dyDescent="0.3">
      <c r="F1561">
        <v>2400</v>
      </c>
      <c r="G1561">
        <v>660</v>
      </c>
      <c r="H1561" s="114">
        <v>73420</v>
      </c>
      <c r="I1561" s="114">
        <v>77880</v>
      </c>
      <c r="J1561" s="113"/>
    </row>
    <row r="1562" spans="4:10" x14ac:dyDescent="0.3">
      <c r="E1562">
        <v>1800</v>
      </c>
      <c r="F1562">
        <v>2200</v>
      </c>
      <c r="G1562">
        <v>660</v>
      </c>
      <c r="H1562" s="114">
        <v>65990</v>
      </c>
      <c r="I1562" s="114">
        <v>70040</v>
      </c>
      <c r="J1562" s="113"/>
    </row>
    <row r="1563" spans="4:10" x14ac:dyDescent="0.3">
      <c r="F1563">
        <v>2400</v>
      </c>
      <c r="G1563">
        <v>660</v>
      </c>
      <c r="H1563" s="114">
        <v>76950</v>
      </c>
      <c r="I1563" s="114">
        <v>81840</v>
      </c>
      <c r="J1563" s="113"/>
    </row>
    <row r="1564" spans="4:10" x14ac:dyDescent="0.3">
      <c r="E1564">
        <v>2000</v>
      </c>
      <c r="F1564">
        <v>2200</v>
      </c>
      <c r="G1564">
        <v>660</v>
      </c>
      <c r="H1564" s="114">
        <v>69560</v>
      </c>
      <c r="I1564" s="114">
        <v>74020</v>
      </c>
      <c r="J1564" s="113"/>
    </row>
    <row r="1565" spans="4:10" x14ac:dyDescent="0.3">
      <c r="F1565">
        <v>2400</v>
      </c>
      <c r="G1565">
        <v>660</v>
      </c>
      <c r="H1565" s="114">
        <v>80500</v>
      </c>
      <c r="I1565" s="114">
        <v>85820</v>
      </c>
      <c r="J1565" s="113"/>
    </row>
    <row r="1566" spans="4:10" x14ac:dyDescent="0.3">
      <c r="D1566" t="s">
        <v>300</v>
      </c>
      <c r="E1566">
        <v>1600</v>
      </c>
      <c r="F1566">
        <v>2200</v>
      </c>
      <c r="G1566">
        <v>660</v>
      </c>
      <c r="H1566" s="114">
        <v>147880</v>
      </c>
      <c r="I1566" s="114">
        <v>77020</v>
      </c>
      <c r="J1566" s="113"/>
    </row>
    <row r="1567" spans="4:10" x14ac:dyDescent="0.3">
      <c r="F1567">
        <v>2400</v>
      </c>
      <c r="G1567">
        <v>660</v>
      </c>
      <c r="H1567" s="114">
        <v>87020</v>
      </c>
      <c r="I1567" s="114">
        <v>91480</v>
      </c>
      <c r="J1567" s="113"/>
    </row>
    <row r="1568" spans="4:10" x14ac:dyDescent="0.3">
      <c r="E1568">
        <v>1800</v>
      </c>
      <c r="F1568">
        <v>2200</v>
      </c>
      <c r="G1568">
        <v>660</v>
      </c>
      <c r="H1568" s="114">
        <v>43240</v>
      </c>
      <c r="I1568" s="114">
        <v>80980</v>
      </c>
      <c r="J1568" s="113"/>
    </row>
    <row r="1569" spans="4:10" x14ac:dyDescent="0.3">
      <c r="F1569">
        <v>2400</v>
      </c>
      <c r="G1569">
        <v>660</v>
      </c>
      <c r="H1569" s="114">
        <v>49760</v>
      </c>
      <c r="I1569" s="114">
        <v>95440</v>
      </c>
      <c r="J1569" s="113"/>
    </row>
    <row r="1570" spans="4:10" x14ac:dyDescent="0.3">
      <c r="E1570">
        <v>2000</v>
      </c>
      <c r="F1570">
        <v>2200</v>
      </c>
      <c r="G1570">
        <v>660</v>
      </c>
      <c r="H1570" s="114">
        <v>80500</v>
      </c>
      <c r="I1570" s="114">
        <v>84960</v>
      </c>
      <c r="J1570" s="113"/>
    </row>
    <row r="1571" spans="4:10" x14ac:dyDescent="0.3">
      <c r="F1571">
        <v>2400</v>
      </c>
      <c r="G1571">
        <v>660</v>
      </c>
      <c r="H1571" s="114">
        <v>94100</v>
      </c>
      <c r="I1571" s="114">
        <v>99420</v>
      </c>
      <c r="J1571" s="113"/>
    </row>
    <row r="1572" spans="4:10" x14ac:dyDescent="0.3">
      <c r="D1572" t="s">
        <v>301</v>
      </c>
      <c r="E1572">
        <v>1600</v>
      </c>
      <c r="F1572">
        <v>2200</v>
      </c>
      <c r="G1572">
        <v>660</v>
      </c>
      <c r="H1572" s="114">
        <v>73400</v>
      </c>
      <c r="I1572" s="114">
        <v>77020</v>
      </c>
      <c r="J1572" s="113"/>
    </row>
    <row r="1573" spans="4:10" x14ac:dyDescent="0.3">
      <c r="F1573">
        <v>2400</v>
      </c>
      <c r="G1573">
        <v>660</v>
      </c>
      <c r="H1573" s="114">
        <v>87020</v>
      </c>
      <c r="I1573" s="114">
        <v>91480</v>
      </c>
      <c r="J1573" s="113"/>
    </row>
    <row r="1574" spans="4:10" x14ac:dyDescent="0.3">
      <c r="E1574">
        <v>1800</v>
      </c>
      <c r="F1574">
        <v>2200</v>
      </c>
      <c r="G1574">
        <v>660</v>
      </c>
      <c r="H1574" s="114">
        <v>76930</v>
      </c>
      <c r="I1574" s="114">
        <v>80980</v>
      </c>
      <c r="J1574" s="113"/>
    </row>
    <row r="1575" spans="4:10" x14ac:dyDescent="0.3">
      <c r="F1575">
        <v>2400</v>
      </c>
      <c r="G1575">
        <v>660</v>
      </c>
      <c r="H1575" s="114">
        <v>90550</v>
      </c>
      <c r="I1575" s="114">
        <v>95440</v>
      </c>
      <c r="J1575" s="113"/>
    </row>
    <row r="1576" spans="4:10" x14ac:dyDescent="0.3">
      <c r="E1576">
        <v>2000</v>
      </c>
      <c r="F1576">
        <v>2200</v>
      </c>
      <c r="G1576">
        <v>660</v>
      </c>
      <c r="H1576" s="114">
        <v>80500</v>
      </c>
      <c r="I1576" s="114">
        <v>84960</v>
      </c>
      <c r="J1576" s="113"/>
    </row>
    <row r="1577" spans="4:10" x14ac:dyDescent="0.3">
      <c r="F1577">
        <v>2400</v>
      </c>
      <c r="G1577">
        <v>660</v>
      </c>
      <c r="H1577" s="114">
        <v>94100</v>
      </c>
      <c r="I1577" s="114">
        <v>99420</v>
      </c>
      <c r="J1577" s="113"/>
    </row>
    <row r="1578" spans="4:10" x14ac:dyDescent="0.3">
      <c r="D1578" t="s">
        <v>302</v>
      </c>
      <c r="E1578">
        <v>1600</v>
      </c>
      <c r="F1578">
        <v>2200</v>
      </c>
      <c r="G1578">
        <v>660</v>
      </c>
      <c r="H1578" s="114">
        <v>56200</v>
      </c>
      <c r="I1578" s="114">
        <v>59820</v>
      </c>
      <c r="J1578" s="113"/>
    </row>
    <row r="1579" spans="4:10" x14ac:dyDescent="0.3">
      <c r="F1579">
        <v>2400</v>
      </c>
      <c r="G1579">
        <v>660</v>
      </c>
      <c r="H1579" s="114">
        <v>65060</v>
      </c>
      <c r="I1579" s="114">
        <v>69520</v>
      </c>
      <c r="J1579" s="113"/>
    </row>
    <row r="1580" spans="4:10" x14ac:dyDescent="0.3">
      <c r="E1580">
        <v>1800</v>
      </c>
      <c r="F1580">
        <v>2200</v>
      </c>
      <c r="G1580">
        <v>660</v>
      </c>
      <c r="H1580" s="114">
        <v>59730</v>
      </c>
      <c r="I1580" s="114">
        <v>63780</v>
      </c>
      <c r="J1580" s="113"/>
    </row>
    <row r="1581" spans="4:10" x14ac:dyDescent="0.3">
      <c r="F1581">
        <v>2400</v>
      </c>
      <c r="G1581">
        <v>660</v>
      </c>
      <c r="H1581" s="114">
        <v>68590</v>
      </c>
      <c r="I1581" s="114">
        <v>73480</v>
      </c>
      <c r="J1581" s="113"/>
    </row>
    <row r="1582" spans="4:10" x14ac:dyDescent="0.3">
      <c r="E1582">
        <v>2000</v>
      </c>
      <c r="F1582">
        <v>2200</v>
      </c>
      <c r="G1582">
        <v>660</v>
      </c>
      <c r="H1582" s="114">
        <v>63300</v>
      </c>
      <c r="I1582" s="114">
        <v>67760</v>
      </c>
      <c r="J1582" s="113"/>
    </row>
    <row r="1583" spans="4:10" x14ac:dyDescent="0.3">
      <c r="F1583">
        <v>2400</v>
      </c>
      <c r="G1583">
        <v>660</v>
      </c>
      <c r="H1583" s="114">
        <v>72140</v>
      </c>
      <c r="I1583" s="114">
        <v>77460</v>
      </c>
      <c r="J1583" s="113"/>
    </row>
    <row r="1584" spans="4:10" x14ac:dyDescent="0.3">
      <c r="D1584" t="s">
        <v>303</v>
      </c>
      <c r="E1584">
        <v>1600</v>
      </c>
      <c r="F1584">
        <v>2200</v>
      </c>
      <c r="G1584">
        <v>660</v>
      </c>
      <c r="H1584" s="114">
        <v>64800</v>
      </c>
      <c r="I1584" s="114">
        <v>68420</v>
      </c>
      <c r="J1584" s="113"/>
    </row>
    <row r="1585" spans="4:10" x14ac:dyDescent="0.3">
      <c r="F1585">
        <v>2400</v>
      </c>
      <c r="G1585">
        <v>660</v>
      </c>
      <c r="H1585" s="114">
        <v>76040</v>
      </c>
      <c r="I1585" s="114">
        <v>80500</v>
      </c>
      <c r="J1585" s="113"/>
    </row>
    <row r="1586" spans="4:10" x14ac:dyDescent="0.3">
      <c r="E1586">
        <v>1800</v>
      </c>
      <c r="F1586">
        <v>2200</v>
      </c>
      <c r="G1586">
        <v>660</v>
      </c>
      <c r="H1586" s="114">
        <v>68330</v>
      </c>
      <c r="I1586" s="114">
        <v>72380</v>
      </c>
      <c r="J1586" s="113"/>
    </row>
    <row r="1587" spans="4:10" x14ac:dyDescent="0.3">
      <c r="F1587">
        <v>2400</v>
      </c>
      <c r="G1587">
        <v>660</v>
      </c>
      <c r="H1587" s="114">
        <v>79570</v>
      </c>
      <c r="I1587" s="114">
        <v>84460</v>
      </c>
      <c r="J1587" s="113"/>
    </row>
    <row r="1588" spans="4:10" x14ac:dyDescent="0.3">
      <c r="E1588">
        <v>2000</v>
      </c>
      <c r="F1588">
        <v>2200</v>
      </c>
      <c r="G1588">
        <v>660</v>
      </c>
      <c r="H1588" s="114">
        <v>71900</v>
      </c>
      <c r="I1588" s="114">
        <v>76360</v>
      </c>
      <c r="J1588" s="113"/>
    </row>
    <row r="1589" spans="4:10" x14ac:dyDescent="0.3">
      <c r="F1589">
        <v>2400</v>
      </c>
      <c r="G1589">
        <v>660</v>
      </c>
      <c r="H1589" s="114">
        <v>83120</v>
      </c>
      <c r="I1589" s="114">
        <v>88440</v>
      </c>
      <c r="J1589" s="113"/>
    </row>
    <row r="1590" spans="4:10" x14ac:dyDescent="0.3">
      <c r="D1590" t="s">
        <v>304</v>
      </c>
      <c r="E1590">
        <v>1600</v>
      </c>
      <c r="F1590">
        <v>2200</v>
      </c>
      <c r="G1590">
        <v>660</v>
      </c>
      <c r="H1590" s="114">
        <v>64800</v>
      </c>
      <c r="I1590" s="114">
        <v>68420</v>
      </c>
      <c r="J1590" s="113"/>
    </row>
    <row r="1591" spans="4:10" x14ac:dyDescent="0.3">
      <c r="F1591">
        <v>2400</v>
      </c>
      <c r="G1591">
        <v>660</v>
      </c>
      <c r="H1591" s="114">
        <v>76040</v>
      </c>
      <c r="I1591" s="114">
        <v>80500</v>
      </c>
      <c r="J1591" s="113"/>
    </row>
    <row r="1592" spans="4:10" x14ac:dyDescent="0.3">
      <c r="E1592">
        <v>1800</v>
      </c>
      <c r="F1592">
        <v>2200</v>
      </c>
      <c r="G1592">
        <v>660</v>
      </c>
      <c r="H1592" s="114">
        <v>68330</v>
      </c>
      <c r="I1592" s="114">
        <v>72380</v>
      </c>
      <c r="J1592" s="113"/>
    </row>
    <row r="1593" spans="4:10" x14ac:dyDescent="0.3">
      <c r="F1593">
        <v>2400</v>
      </c>
      <c r="G1593">
        <v>660</v>
      </c>
      <c r="H1593" s="114">
        <v>79570</v>
      </c>
      <c r="I1593" s="114">
        <v>84460</v>
      </c>
      <c r="J1593" s="113"/>
    </row>
    <row r="1594" spans="4:10" x14ac:dyDescent="0.3">
      <c r="E1594">
        <v>2000</v>
      </c>
      <c r="F1594">
        <v>2200</v>
      </c>
      <c r="G1594">
        <v>660</v>
      </c>
      <c r="H1594" s="114">
        <v>71900</v>
      </c>
      <c r="I1594" s="114">
        <v>76360</v>
      </c>
      <c r="J1594" s="113"/>
    </row>
    <row r="1595" spans="4:10" x14ac:dyDescent="0.3">
      <c r="F1595">
        <v>2400</v>
      </c>
      <c r="G1595">
        <v>660</v>
      </c>
      <c r="H1595" s="114">
        <v>83120</v>
      </c>
      <c r="I1595" s="114">
        <v>88440</v>
      </c>
      <c r="J1595" s="113"/>
    </row>
    <row r="1596" spans="4:10" x14ac:dyDescent="0.3">
      <c r="D1596" t="s">
        <v>305</v>
      </c>
      <c r="E1596">
        <v>1600</v>
      </c>
      <c r="F1596">
        <v>2200</v>
      </c>
      <c r="G1596">
        <v>660</v>
      </c>
      <c r="H1596" s="114">
        <v>57140</v>
      </c>
      <c r="I1596" s="114">
        <v>61400</v>
      </c>
      <c r="J1596" s="113"/>
    </row>
    <row r="1597" spans="4:10" x14ac:dyDescent="0.3">
      <c r="F1597">
        <v>2400</v>
      </c>
      <c r="G1597">
        <v>660</v>
      </c>
      <c r="H1597" s="114">
        <v>67500</v>
      </c>
      <c r="I1597" s="114">
        <v>72600</v>
      </c>
      <c r="J1597" s="113"/>
    </row>
    <row r="1598" spans="4:10" x14ac:dyDescent="0.3">
      <c r="E1598">
        <v>1800</v>
      </c>
      <c r="F1598">
        <v>2200</v>
      </c>
      <c r="G1598">
        <v>660</v>
      </c>
      <c r="H1598" s="114">
        <v>60670</v>
      </c>
      <c r="I1598" s="114">
        <v>65360</v>
      </c>
      <c r="J1598" s="113"/>
    </row>
    <row r="1599" spans="4:10" x14ac:dyDescent="0.3">
      <c r="F1599">
        <v>2400</v>
      </c>
      <c r="G1599">
        <v>660</v>
      </c>
      <c r="H1599" s="114">
        <v>71030</v>
      </c>
      <c r="I1599" s="114">
        <v>76560</v>
      </c>
      <c r="J1599" s="113"/>
    </row>
    <row r="1600" spans="4:10" x14ac:dyDescent="0.3">
      <c r="E1600">
        <v>2000</v>
      </c>
      <c r="F1600">
        <v>2200</v>
      </c>
      <c r="G1600">
        <v>660</v>
      </c>
      <c r="H1600" s="114">
        <v>64240</v>
      </c>
      <c r="I1600" s="114">
        <v>69340</v>
      </c>
      <c r="J1600" s="113"/>
    </row>
    <row r="1601" spans="4:10" x14ac:dyDescent="0.3">
      <c r="F1601">
        <v>2400</v>
      </c>
      <c r="G1601">
        <v>660</v>
      </c>
      <c r="H1601" s="114">
        <v>74580</v>
      </c>
      <c r="I1601" s="114">
        <v>80540</v>
      </c>
      <c r="J1601" s="113"/>
    </row>
    <row r="1602" spans="4:10" x14ac:dyDescent="0.3">
      <c r="D1602" t="s">
        <v>306</v>
      </c>
      <c r="E1602">
        <v>1600</v>
      </c>
      <c r="F1602">
        <v>2200</v>
      </c>
      <c r="G1602">
        <v>660</v>
      </c>
      <c r="H1602" s="114">
        <v>53860</v>
      </c>
      <c r="I1602" s="114">
        <v>57480</v>
      </c>
      <c r="J1602" s="113"/>
    </row>
    <row r="1603" spans="4:10" x14ac:dyDescent="0.3">
      <c r="F1603">
        <v>2400</v>
      </c>
      <c r="G1603">
        <v>660</v>
      </c>
      <c r="H1603" s="114">
        <v>62440</v>
      </c>
      <c r="I1603" s="114">
        <v>66900</v>
      </c>
      <c r="J1603" s="113"/>
    </row>
    <row r="1604" spans="4:10" x14ac:dyDescent="0.3">
      <c r="E1604">
        <v>1800</v>
      </c>
      <c r="F1604">
        <v>2200</v>
      </c>
      <c r="G1604">
        <v>660</v>
      </c>
      <c r="H1604" s="114">
        <v>57390</v>
      </c>
      <c r="I1604" s="114">
        <v>61440</v>
      </c>
      <c r="J1604" s="113"/>
    </row>
    <row r="1605" spans="4:10" x14ac:dyDescent="0.3">
      <c r="F1605">
        <v>2400</v>
      </c>
      <c r="G1605">
        <v>660</v>
      </c>
      <c r="H1605" s="114">
        <v>65970</v>
      </c>
      <c r="I1605" s="114">
        <v>70860</v>
      </c>
      <c r="J1605" s="113"/>
    </row>
    <row r="1606" spans="4:10" x14ac:dyDescent="0.3">
      <c r="E1606">
        <v>2000</v>
      </c>
      <c r="F1606">
        <v>2200</v>
      </c>
      <c r="G1606">
        <v>660</v>
      </c>
      <c r="H1606" s="114">
        <v>60960</v>
      </c>
      <c r="I1606" s="114">
        <v>65420</v>
      </c>
      <c r="J1606" s="113"/>
    </row>
    <row r="1607" spans="4:10" x14ac:dyDescent="0.3">
      <c r="F1607">
        <v>2400</v>
      </c>
      <c r="G1607">
        <v>660</v>
      </c>
      <c r="H1607" s="114">
        <v>69520</v>
      </c>
      <c r="I1607" s="114">
        <v>74840</v>
      </c>
      <c r="J1607" s="113"/>
    </row>
    <row r="1608" spans="4:10" x14ac:dyDescent="0.3">
      <c r="D1608" t="s">
        <v>307</v>
      </c>
      <c r="E1608">
        <v>1600</v>
      </c>
      <c r="F1608">
        <v>2200</v>
      </c>
      <c r="G1608">
        <v>660</v>
      </c>
      <c r="H1608" s="114">
        <v>64800</v>
      </c>
      <c r="I1608" s="114">
        <v>68420</v>
      </c>
      <c r="J1608" s="113"/>
    </row>
    <row r="1609" spans="4:10" x14ac:dyDescent="0.3">
      <c r="F1609">
        <v>2400</v>
      </c>
      <c r="G1609">
        <v>660</v>
      </c>
      <c r="H1609" s="114">
        <v>76040</v>
      </c>
      <c r="I1609" s="114">
        <v>80500</v>
      </c>
      <c r="J1609" s="113"/>
    </row>
    <row r="1610" spans="4:10" x14ac:dyDescent="0.3">
      <c r="E1610">
        <v>1800</v>
      </c>
      <c r="F1610">
        <v>2200</v>
      </c>
      <c r="G1610">
        <v>660</v>
      </c>
      <c r="H1610" s="114">
        <v>68330</v>
      </c>
      <c r="I1610" s="114">
        <v>72380</v>
      </c>
      <c r="J1610" s="113"/>
    </row>
    <row r="1611" spans="4:10" x14ac:dyDescent="0.3">
      <c r="F1611">
        <v>2400</v>
      </c>
      <c r="G1611">
        <v>660</v>
      </c>
      <c r="H1611" s="114">
        <v>79570</v>
      </c>
      <c r="I1611" s="114">
        <v>84460</v>
      </c>
      <c r="J1611" s="113"/>
    </row>
    <row r="1612" spans="4:10" x14ac:dyDescent="0.3">
      <c r="E1612">
        <v>2000</v>
      </c>
      <c r="F1612">
        <v>2200</v>
      </c>
      <c r="G1612">
        <v>660</v>
      </c>
      <c r="H1612" s="114">
        <v>71900</v>
      </c>
      <c r="I1612" s="114">
        <v>76360</v>
      </c>
      <c r="J1612" s="113"/>
    </row>
    <row r="1613" spans="4:10" x14ac:dyDescent="0.3">
      <c r="F1613">
        <v>2400</v>
      </c>
      <c r="G1613">
        <v>660</v>
      </c>
      <c r="H1613" s="114">
        <v>83120</v>
      </c>
      <c r="I1613" s="114">
        <v>88440</v>
      </c>
      <c r="J1613" s="113"/>
    </row>
    <row r="1614" spans="4:10" x14ac:dyDescent="0.3">
      <c r="D1614" t="s">
        <v>308</v>
      </c>
      <c r="E1614">
        <v>1600</v>
      </c>
      <c r="F1614">
        <v>2200</v>
      </c>
      <c r="G1614">
        <v>660</v>
      </c>
      <c r="H1614" s="114">
        <v>56200</v>
      </c>
      <c r="I1614" s="114">
        <v>59820</v>
      </c>
      <c r="J1614" s="113"/>
    </row>
    <row r="1615" spans="4:10" x14ac:dyDescent="0.3">
      <c r="F1615">
        <v>2400</v>
      </c>
      <c r="G1615">
        <v>660</v>
      </c>
      <c r="H1615" s="114">
        <v>65060</v>
      </c>
      <c r="I1615" s="114">
        <v>69520</v>
      </c>
      <c r="J1615" s="113"/>
    </row>
    <row r="1616" spans="4:10" x14ac:dyDescent="0.3">
      <c r="E1616">
        <v>1800</v>
      </c>
      <c r="F1616">
        <v>2200</v>
      </c>
      <c r="G1616">
        <v>660</v>
      </c>
      <c r="H1616" s="114">
        <v>59730</v>
      </c>
      <c r="I1616" s="114">
        <v>63780</v>
      </c>
      <c r="J1616" s="113"/>
    </row>
    <row r="1617" spans="4:10" x14ac:dyDescent="0.3">
      <c r="F1617">
        <v>2400</v>
      </c>
      <c r="G1617">
        <v>660</v>
      </c>
      <c r="H1617" s="114">
        <v>68590</v>
      </c>
      <c r="I1617" s="114">
        <v>73480</v>
      </c>
      <c r="J1617" s="113"/>
    </row>
    <row r="1618" spans="4:10" x14ac:dyDescent="0.3">
      <c r="E1618">
        <v>2000</v>
      </c>
      <c r="F1618">
        <v>2200</v>
      </c>
      <c r="G1618">
        <v>660</v>
      </c>
      <c r="H1618" s="114">
        <v>63300</v>
      </c>
      <c r="I1618" s="114">
        <v>67760</v>
      </c>
      <c r="J1618" s="113"/>
    </row>
    <row r="1619" spans="4:10" x14ac:dyDescent="0.3">
      <c r="F1619">
        <v>2400</v>
      </c>
      <c r="G1619">
        <v>660</v>
      </c>
      <c r="H1619" s="114">
        <v>72140</v>
      </c>
      <c r="I1619" s="114">
        <v>77460</v>
      </c>
      <c r="J1619" s="113"/>
    </row>
    <row r="1620" spans="4:10" x14ac:dyDescent="0.3">
      <c r="D1620" t="s">
        <v>309</v>
      </c>
      <c r="E1620">
        <v>1600</v>
      </c>
      <c r="F1620">
        <v>2200</v>
      </c>
      <c r="G1620">
        <v>660</v>
      </c>
      <c r="H1620" s="114">
        <v>64800</v>
      </c>
      <c r="I1620" s="114">
        <v>68420</v>
      </c>
      <c r="J1620" s="113"/>
    </row>
    <row r="1621" spans="4:10" x14ac:dyDescent="0.3">
      <c r="F1621">
        <v>2400</v>
      </c>
      <c r="G1621">
        <v>660</v>
      </c>
      <c r="H1621" s="114">
        <v>76040</v>
      </c>
      <c r="I1621" s="114">
        <v>80500</v>
      </c>
      <c r="J1621" s="113"/>
    </row>
    <row r="1622" spans="4:10" x14ac:dyDescent="0.3">
      <c r="E1622">
        <v>1800</v>
      </c>
      <c r="F1622">
        <v>2200</v>
      </c>
      <c r="G1622">
        <v>660</v>
      </c>
      <c r="H1622" s="114">
        <v>68330</v>
      </c>
      <c r="I1622" s="114">
        <v>72380</v>
      </c>
      <c r="J1622" s="113"/>
    </row>
    <row r="1623" spans="4:10" x14ac:dyDescent="0.3">
      <c r="F1623">
        <v>2400</v>
      </c>
      <c r="G1623">
        <v>660</v>
      </c>
      <c r="H1623" s="114">
        <v>79570</v>
      </c>
      <c r="I1623" s="114">
        <v>84460</v>
      </c>
      <c r="J1623" s="113"/>
    </row>
    <row r="1624" spans="4:10" x14ac:dyDescent="0.3">
      <c r="E1624">
        <v>2000</v>
      </c>
      <c r="F1624">
        <v>2200</v>
      </c>
      <c r="G1624">
        <v>660</v>
      </c>
      <c r="H1624" s="114">
        <v>71900</v>
      </c>
      <c r="I1624" s="114">
        <v>76360</v>
      </c>
      <c r="J1624" s="113"/>
    </row>
    <row r="1625" spans="4:10" x14ac:dyDescent="0.3">
      <c r="F1625">
        <v>2400</v>
      </c>
      <c r="G1625">
        <v>660</v>
      </c>
      <c r="H1625" s="114">
        <v>83120</v>
      </c>
      <c r="I1625" s="114">
        <v>88440</v>
      </c>
      <c r="J1625" s="113"/>
    </row>
    <row r="1626" spans="4:10" x14ac:dyDescent="0.3">
      <c r="D1626" t="s">
        <v>310</v>
      </c>
      <c r="E1626">
        <v>1600</v>
      </c>
      <c r="F1626">
        <v>2200</v>
      </c>
      <c r="G1626">
        <v>660</v>
      </c>
      <c r="H1626" s="114">
        <v>64800</v>
      </c>
      <c r="I1626" s="114">
        <v>68420</v>
      </c>
      <c r="J1626" s="113"/>
    </row>
    <row r="1627" spans="4:10" x14ac:dyDescent="0.3">
      <c r="F1627">
        <v>2400</v>
      </c>
      <c r="G1627">
        <v>660</v>
      </c>
      <c r="H1627" s="114">
        <v>76040</v>
      </c>
      <c r="I1627" s="114">
        <v>80500</v>
      </c>
      <c r="J1627" s="113"/>
    </row>
    <row r="1628" spans="4:10" x14ac:dyDescent="0.3">
      <c r="E1628">
        <v>1800</v>
      </c>
      <c r="F1628">
        <v>2200</v>
      </c>
      <c r="G1628">
        <v>660</v>
      </c>
      <c r="H1628" s="114">
        <v>68330</v>
      </c>
      <c r="I1628" s="114">
        <v>72380</v>
      </c>
      <c r="J1628" s="113"/>
    </row>
    <row r="1629" spans="4:10" x14ac:dyDescent="0.3">
      <c r="F1629">
        <v>2400</v>
      </c>
      <c r="G1629">
        <v>660</v>
      </c>
      <c r="H1629" s="114">
        <v>79570</v>
      </c>
      <c r="I1629" s="114">
        <v>84460</v>
      </c>
      <c r="J1629" s="113"/>
    </row>
    <row r="1630" spans="4:10" x14ac:dyDescent="0.3">
      <c r="E1630">
        <v>2000</v>
      </c>
      <c r="F1630">
        <v>2200</v>
      </c>
      <c r="G1630">
        <v>660</v>
      </c>
      <c r="H1630" s="114">
        <v>71900</v>
      </c>
      <c r="I1630" s="114">
        <v>76360</v>
      </c>
      <c r="J1630" s="113"/>
    </row>
    <row r="1631" spans="4:10" x14ac:dyDescent="0.3">
      <c r="F1631">
        <v>2400</v>
      </c>
      <c r="G1631">
        <v>660</v>
      </c>
      <c r="H1631" s="114">
        <v>83120</v>
      </c>
      <c r="I1631" s="114">
        <v>88440</v>
      </c>
      <c r="J1631" s="113"/>
    </row>
    <row r="1632" spans="4:10" x14ac:dyDescent="0.3">
      <c r="D1632" t="s">
        <v>311</v>
      </c>
      <c r="E1632">
        <v>1600</v>
      </c>
      <c r="F1632">
        <v>2200</v>
      </c>
      <c r="G1632">
        <v>660</v>
      </c>
      <c r="H1632" s="114">
        <v>64800</v>
      </c>
      <c r="I1632" s="114">
        <v>68420</v>
      </c>
      <c r="J1632" s="113"/>
    </row>
    <row r="1633" spans="4:10" x14ac:dyDescent="0.3">
      <c r="F1633">
        <v>2400</v>
      </c>
      <c r="G1633">
        <v>660</v>
      </c>
      <c r="H1633" s="114">
        <v>76040</v>
      </c>
      <c r="I1633" s="114">
        <v>80500</v>
      </c>
      <c r="J1633" s="113"/>
    </row>
    <row r="1634" spans="4:10" x14ac:dyDescent="0.3">
      <c r="E1634">
        <v>1800</v>
      </c>
      <c r="F1634">
        <v>2200</v>
      </c>
      <c r="G1634">
        <v>660</v>
      </c>
      <c r="H1634" s="114">
        <v>68330</v>
      </c>
      <c r="I1634" s="114">
        <v>72380</v>
      </c>
      <c r="J1634" s="113"/>
    </row>
    <row r="1635" spans="4:10" x14ac:dyDescent="0.3">
      <c r="F1635">
        <v>2400</v>
      </c>
      <c r="G1635">
        <v>660</v>
      </c>
      <c r="H1635" s="114">
        <v>79570</v>
      </c>
      <c r="I1635" s="114">
        <v>84460</v>
      </c>
      <c r="J1635" s="113"/>
    </row>
    <row r="1636" spans="4:10" x14ac:dyDescent="0.3">
      <c r="E1636">
        <v>2000</v>
      </c>
      <c r="F1636">
        <v>2200</v>
      </c>
      <c r="G1636">
        <v>660</v>
      </c>
      <c r="H1636" s="114">
        <v>71900</v>
      </c>
      <c r="I1636" s="114">
        <v>76360</v>
      </c>
      <c r="J1636" s="113"/>
    </row>
    <row r="1637" spans="4:10" x14ac:dyDescent="0.3">
      <c r="F1637">
        <v>2400</v>
      </c>
      <c r="G1637">
        <v>660</v>
      </c>
      <c r="H1637" s="114">
        <v>83120</v>
      </c>
      <c r="I1637" s="114">
        <v>88440</v>
      </c>
      <c r="J1637" s="113"/>
    </row>
    <row r="1638" spans="4:10" x14ac:dyDescent="0.3">
      <c r="D1638" t="s">
        <v>312</v>
      </c>
      <c r="E1638">
        <v>1600</v>
      </c>
      <c r="F1638">
        <v>2200</v>
      </c>
      <c r="G1638">
        <v>660</v>
      </c>
      <c r="H1638" s="114">
        <v>73400</v>
      </c>
      <c r="I1638" s="114">
        <v>77020</v>
      </c>
      <c r="J1638" s="113"/>
    </row>
    <row r="1639" spans="4:10" x14ac:dyDescent="0.3">
      <c r="F1639">
        <v>2400</v>
      </c>
      <c r="G1639">
        <v>660</v>
      </c>
      <c r="H1639" s="114">
        <v>87020</v>
      </c>
      <c r="I1639" s="114">
        <v>91480</v>
      </c>
      <c r="J1639" s="113"/>
    </row>
    <row r="1640" spans="4:10" x14ac:dyDescent="0.3">
      <c r="E1640">
        <v>1800</v>
      </c>
      <c r="F1640">
        <v>2200</v>
      </c>
      <c r="G1640">
        <v>660</v>
      </c>
      <c r="H1640" s="114">
        <v>76930</v>
      </c>
      <c r="I1640" s="114">
        <v>80980</v>
      </c>
      <c r="J1640" s="113"/>
    </row>
    <row r="1641" spans="4:10" x14ac:dyDescent="0.3">
      <c r="F1641">
        <v>2400</v>
      </c>
      <c r="G1641">
        <v>660</v>
      </c>
      <c r="H1641" s="114">
        <v>90550</v>
      </c>
      <c r="I1641" s="114">
        <v>95440</v>
      </c>
      <c r="J1641" s="113"/>
    </row>
    <row r="1642" spans="4:10" x14ac:dyDescent="0.3">
      <c r="E1642">
        <v>2000</v>
      </c>
      <c r="F1642">
        <v>2200</v>
      </c>
      <c r="G1642">
        <v>660</v>
      </c>
      <c r="H1642" s="114">
        <v>80500</v>
      </c>
      <c r="I1642" s="114">
        <v>84960</v>
      </c>
      <c r="J1642" s="113"/>
    </row>
    <row r="1643" spans="4:10" x14ac:dyDescent="0.3">
      <c r="F1643">
        <v>2400</v>
      </c>
      <c r="G1643">
        <v>660</v>
      </c>
      <c r="H1643" s="114">
        <v>94100</v>
      </c>
      <c r="I1643" s="114">
        <v>99420</v>
      </c>
      <c r="J1643" s="113"/>
    </row>
    <row r="1644" spans="4:10" x14ac:dyDescent="0.3">
      <c r="D1644" t="s">
        <v>313</v>
      </c>
      <c r="E1644">
        <v>1600</v>
      </c>
      <c r="F1644">
        <v>2200</v>
      </c>
      <c r="G1644">
        <v>660</v>
      </c>
      <c r="H1644" s="114">
        <v>40880</v>
      </c>
      <c r="I1644" s="114">
        <v>45780</v>
      </c>
      <c r="J1644" s="113"/>
    </row>
    <row r="1645" spans="4:10" x14ac:dyDescent="0.3">
      <c r="F1645">
        <v>2400</v>
      </c>
      <c r="G1645">
        <v>660</v>
      </c>
      <c r="H1645" s="114">
        <v>47980</v>
      </c>
      <c r="I1645" s="114">
        <v>53720</v>
      </c>
      <c r="J1645" s="113"/>
    </row>
    <row r="1646" spans="4:10" x14ac:dyDescent="0.3">
      <c r="E1646">
        <v>1800</v>
      </c>
      <c r="F1646">
        <v>2200</v>
      </c>
      <c r="G1646">
        <v>660</v>
      </c>
      <c r="H1646" s="114">
        <v>44410</v>
      </c>
      <c r="I1646" s="114">
        <v>49740</v>
      </c>
      <c r="J1646" s="113"/>
    </row>
    <row r="1647" spans="4:10" x14ac:dyDescent="0.3">
      <c r="F1647">
        <v>2400</v>
      </c>
      <c r="G1647">
        <v>660</v>
      </c>
      <c r="H1647" s="114">
        <v>51510</v>
      </c>
      <c r="I1647" s="114">
        <v>57680</v>
      </c>
      <c r="J1647" s="113"/>
    </row>
    <row r="1648" spans="4:10" x14ac:dyDescent="0.3">
      <c r="E1648">
        <v>2000</v>
      </c>
      <c r="F1648">
        <v>2200</v>
      </c>
      <c r="G1648">
        <v>660</v>
      </c>
      <c r="H1648" s="114">
        <v>47980</v>
      </c>
      <c r="I1648" s="114">
        <v>53720</v>
      </c>
      <c r="J1648" s="113"/>
    </row>
    <row r="1649" spans="4:10" x14ac:dyDescent="0.3">
      <c r="F1649">
        <v>2400</v>
      </c>
      <c r="G1649">
        <v>660</v>
      </c>
      <c r="H1649" s="114">
        <v>55060</v>
      </c>
      <c r="I1649" s="114">
        <v>61660</v>
      </c>
      <c r="J1649" s="113"/>
    </row>
    <row r="1650" spans="4:10" x14ac:dyDescent="0.3">
      <c r="D1650" t="s">
        <v>314</v>
      </c>
      <c r="E1650">
        <v>1600</v>
      </c>
      <c r="F1650">
        <v>2200</v>
      </c>
      <c r="G1650">
        <v>660</v>
      </c>
      <c r="H1650" s="114">
        <v>51520</v>
      </c>
      <c r="I1650" s="114">
        <v>55140</v>
      </c>
      <c r="J1650" s="113"/>
    </row>
    <row r="1651" spans="4:10" x14ac:dyDescent="0.3">
      <c r="F1651">
        <v>2400</v>
      </c>
      <c r="G1651">
        <v>660</v>
      </c>
      <c r="H1651" s="114">
        <v>59820</v>
      </c>
      <c r="I1651" s="114">
        <v>64280</v>
      </c>
      <c r="J1651" s="113"/>
    </row>
    <row r="1652" spans="4:10" x14ac:dyDescent="0.3">
      <c r="E1652">
        <v>1800</v>
      </c>
      <c r="F1652">
        <v>2200</v>
      </c>
      <c r="G1652">
        <v>660</v>
      </c>
      <c r="H1652" s="114">
        <v>55050</v>
      </c>
      <c r="I1652" s="114">
        <v>59100</v>
      </c>
      <c r="J1652" s="113"/>
    </row>
    <row r="1653" spans="4:10" x14ac:dyDescent="0.3">
      <c r="F1653">
        <v>2400</v>
      </c>
      <c r="G1653">
        <v>660</v>
      </c>
      <c r="H1653" s="114">
        <v>63350</v>
      </c>
      <c r="I1653" s="114">
        <v>68240</v>
      </c>
      <c r="J1653" s="113"/>
    </row>
    <row r="1654" spans="4:10" x14ac:dyDescent="0.3">
      <c r="E1654">
        <v>2000</v>
      </c>
      <c r="F1654">
        <v>2200</v>
      </c>
      <c r="G1654">
        <v>660</v>
      </c>
      <c r="H1654" s="114">
        <v>58620</v>
      </c>
      <c r="I1654" s="114">
        <v>63080</v>
      </c>
      <c r="J1654" s="113"/>
    </row>
    <row r="1655" spans="4:10" x14ac:dyDescent="0.3">
      <c r="F1655">
        <v>2400</v>
      </c>
      <c r="G1655">
        <v>660</v>
      </c>
      <c r="H1655" s="114">
        <v>66900</v>
      </c>
      <c r="I1655" s="114">
        <v>72220</v>
      </c>
      <c r="J1655" s="113"/>
    </row>
    <row r="1656" spans="4:10" x14ac:dyDescent="0.3">
      <c r="D1656" t="s">
        <v>315</v>
      </c>
      <c r="E1656">
        <v>1600</v>
      </c>
      <c r="F1656">
        <v>2200</v>
      </c>
      <c r="G1656">
        <v>660</v>
      </c>
      <c r="H1656" s="114">
        <v>73400</v>
      </c>
      <c r="I1656" s="114">
        <v>77020</v>
      </c>
      <c r="J1656" s="113"/>
    </row>
    <row r="1657" spans="4:10" x14ac:dyDescent="0.3">
      <c r="F1657">
        <v>2400</v>
      </c>
      <c r="G1657">
        <v>660</v>
      </c>
      <c r="H1657" s="114">
        <v>87020</v>
      </c>
      <c r="I1657" s="114">
        <v>91480</v>
      </c>
      <c r="J1657" s="113"/>
    </row>
    <row r="1658" spans="4:10" x14ac:dyDescent="0.3">
      <c r="E1658">
        <v>1800</v>
      </c>
      <c r="F1658">
        <v>2200</v>
      </c>
      <c r="G1658">
        <v>660</v>
      </c>
      <c r="H1658" s="114">
        <v>76930</v>
      </c>
      <c r="I1658" s="114">
        <v>80980</v>
      </c>
      <c r="J1658" s="113"/>
    </row>
    <row r="1659" spans="4:10" x14ac:dyDescent="0.3">
      <c r="F1659">
        <v>2400</v>
      </c>
      <c r="G1659">
        <v>660</v>
      </c>
      <c r="H1659" s="114">
        <v>90550</v>
      </c>
      <c r="I1659" s="114">
        <v>95440</v>
      </c>
      <c r="J1659" s="113"/>
    </row>
    <row r="1660" spans="4:10" x14ac:dyDescent="0.3">
      <c r="E1660">
        <v>2000</v>
      </c>
      <c r="F1660">
        <v>2200</v>
      </c>
      <c r="G1660">
        <v>660</v>
      </c>
      <c r="H1660" s="114">
        <v>80500</v>
      </c>
      <c r="I1660" s="114">
        <v>84960</v>
      </c>
      <c r="J1660" s="113"/>
    </row>
    <row r="1661" spans="4:10" x14ac:dyDescent="0.3">
      <c r="F1661">
        <v>2400</v>
      </c>
      <c r="G1661">
        <v>660</v>
      </c>
      <c r="H1661" s="114">
        <v>94100</v>
      </c>
      <c r="I1661" s="114">
        <v>99420</v>
      </c>
      <c r="J1661" s="113"/>
    </row>
    <row r="1662" spans="4:10" x14ac:dyDescent="0.3">
      <c r="D1662" t="s">
        <v>316</v>
      </c>
      <c r="E1662">
        <v>1600</v>
      </c>
      <c r="F1662">
        <v>2200</v>
      </c>
      <c r="G1662">
        <v>660</v>
      </c>
      <c r="H1662" s="114">
        <v>48540</v>
      </c>
      <c r="I1662" s="114">
        <v>52800</v>
      </c>
      <c r="J1662" s="113"/>
    </row>
    <row r="1663" spans="4:10" x14ac:dyDescent="0.3">
      <c r="F1663">
        <v>2400</v>
      </c>
      <c r="G1663">
        <v>660</v>
      </c>
      <c r="H1663" s="114">
        <v>56520</v>
      </c>
      <c r="I1663" s="114">
        <v>61620</v>
      </c>
      <c r="J1663" s="113"/>
    </row>
    <row r="1664" spans="4:10" x14ac:dyDescent="0.3">
      <c r="E1664">
        <v>1800</v>
      </c>
      <c r="F1664">
        <v>2200</v>
      </c>
      <c r="G1664">
        <v>660</v>
      </c>
      <c r="H1664" s="114">
        <v>52070</v>
      </c>
      <c r="I1664" s="114">
        <v>56760</v>
      </c>
      <c r="J1664" s="113"/>
    </row>
    <row r="1665" spans="4:10" x14ac:dyDescent="0.3">
      <c r="F1665">
        <v>2400</v>
      </c>
      <c r="G1665">
        <v>660</v>
      </c>
      <c r="H1665" s="114">
        <v>60050</v>
      </c>
      <c r="I1665" s="114">
        <v>65580</v>
      </c>
      <c r="J1665" s="113"/>
    </row>
    <row r="1666" spans="4:10" x14ac:dyDescent="0.3">
      <c r="E1666">
        <v>2000</v>
      </c>
      <c r="F1666">
        <v>2200</v>
      </c>
      <c r="G1666">
        <v>660</v>
      </c>
      <c r="H1666" s="114">
        <v>55640</v>
      </c>
      <c r="I1666" s="114">
        <v>60740</v>
      </c>
      <c r="J1666" s="113"/>
    </row>
    <row r="1667" spans="4:10" x14ac:dyDescent="0.3">
      <c r="F1667">
        <v>2400</v>
      </c>
      <c r="G1667">
        <v>660</v>
      </c>
      <c r="H1667" s="114">
        <v>63600</v>
      </c>
      <c r="I1667" s="114">
        <v>69560</v>
      </c>
      <c r="J1667" s="113"/>
    </row>
    <row r="1668" spans="4:10" x14ac:dyDescent="0.3">
      <c r="D1668" t="s">
        <v>317</v>
      </c>
      <c r="E1668">
        <v>1600</v>
      </c>
      <c r="F1668">
        <v>2200</v>
      </c>
      <c r="G1668">
        <v>660</v>
      </c>
      <c r="H1668" s="114">
        <v>48540</v>
      </c>
      <c r="I1668" s="114">
        <v>52800</v>
      </c>
      <c r="J1668" s="113"/>
    </row>
    <row r="1669" spans="4:10" x14ac:dyDescent="0.3">
      <c r="F1669">
        <v>2400</v>
      </c>
      <c r="G1669">
        <v>660</v>
      </c>
      <c r="H1669" s="114">
        <v>56520</v>
      </c>
      <c r="I1669" s="114">
        <v>61620</v>
      </c>
      <c r="J1669" s="113"/>
    </row>
    <row r="1670" spans="4:10" x14ac:dyDescent="0.3">
      <c r="E1670">
        <v>1800</v>
      </c>
      <c r="F1670">
        <v>2200</v>
      </c>
      <c r="G1670">
        <v>660</v>
      </c>
      <c r="H1670" s="114">
        <v>52070</v>
      </c>
      <c r="I1670" s="114">
        <v>56760</v>
      </c>
      <c r="J1670" s="113"/>
    </row>
    <row r="1671" spans="4:10" x14ac:dyDescent="0.3">
      <c r="F1671">
        <v>2400</v>
      </c>
      <c r="G1671">
        <v>660</v>
      </c>
      <c r="H1671" s="114">
        <v>60050</v>
      </c>
      <c r="I1671" s="114">
        <v>65580</v>
      </c>
      <c r="J1671" s="113"/>
    </row>
    <row r="1672" spans="4:10" x14ac:dyDescent="0.3">
      <c r="E1672">
        <v>2000</v>
      </c>
      <c r="F1672">
        <v>2200</v>
      </c>
      <c r="G1672">
        <v>660</v>
      </c>
      <c r="H1672" s="114">
        <v>55640</v>
      </c>
      <c r="I1672" s="114">
        <v>60740</v>
      </c>
      <c r="J1672" s="113"/>
    </row>
    <row r="1673" spans="4:10" x14ac:dyDescent="0.3">
      <c r="F1673">
        <v>2400</v>
      </c>
      <c r="G1673">
        <v>660</v>
      </c>
      <c r="H1673" s="114">
        <v>63600</v>
      </c>
      <c r="I1673" s="114">
        <v>69560</v>
      </c>
      <c r="J1673" s="113"/>
    </row>
    <row r="1674" spans="4:10" x14ac:dyDescent="0.3">
      <c r="D1674" t="s">
        <v>318</v>
      </c>
      <c r="E1674">
        <v>1600</v>
      </c>
      <c r="F1674">
        <v>2200</v>
      </c>
      <c r="G1674">
        <v>660</v>
      </c>
      <c r="H1674" s="114">
        <v>73400</v>
      </c>
      <c r="I1674" s="114">
        <v>77020</v>
      </c>
      <c r="J1674" s="113"/>
    </row>
    <row r="1675" spans="4:10" x14ac:dyDescent="0.3">
      <c r="F1675">
        <v>2400</v>
      </c>
      <c r="G1675">
        <v>660</v>
      </c>
      <c r="H1675" s="114">
        <v>87020</v>
      </c>
      <c r="I1675" s="114">
        <v>91480</v>
      </c>
      <c r="J1675" s="113"/>
    </row>
    <row r="1676" spans="4:10" x14ac:dyDescent="0.3">
      <c r="E1676">
        <v>1800</v>
      </c>
      <c r="F1676">
        <v>2200</v>
      </c>
      <c r="G1676">
        <v>660</v>
      </c>
      <c r="H1676" s="114">
        <v>76930</v>
      </c>
      <c r="I1676" s="114">
        <v>80980</v>
      </c>
      <c r="J1676" s="113"/>
    </row>
    <row r="1677" spans="4:10" x14ac:dyDescent="0.3">
      <c r="F1677">
        <v>2400</v>
      </c>
      <c r="G1677">
        <v>660</v>
      </c>
      <c r="H1677" s="114">
        <v>90550</v>
      </c>
      <c r="I1677" s="114">
        <v>95440</v>
      </c>
      <c r="J1677" s="113"/>
    </row>
    <row r="1678" spans="4:10" x14ac:dyDescent="0.3">
      <c r="E1678">
        <v>2000</v>
      </c>
      <c r="F1678">
        <v>2200</v>
      </c>
      <c r="G1678">
        <v>660</v>
      </c>
      <c r="H1678" s="114">
        <v>80500</v>
      </c>
      <c r="I1678" s="114">
        <v>84960</v>
      </c>
      <c r="J1678" s="113"/>
    </row>
    <row r="1679" spans="4:10" x14ac:dyDescent="0.3">
      <c r="F1679">
        <v>2400</v>
      </c>
      <c r="G1679">
        <v>660</v>
      </c>
      <c r="H1679" s="114">
        <v>94100</v>
      </c>
      <c r="I1679" s="114">
        <v>99420</v>
      </c>
      <c r="J1679" s="113"/>
    </row>
    <row r="1680" spans="4:10" x14ac:dyDescent="0.3">
      <c r="D1680" t="s">
        <v>319</v>
      </c>
      <c r="E1680">
        <v>1600</v>
      </c>
      <c r="F1680">
        <v>2200</v>
      </c>
      <c r="G1680">
        <v>660</v>
      </c>
      <c r="H1680" s="114">
        <v>57140</v>
      </c>
      <c r="I1680" s="114">
        <v>61400</v>
      </c>
      <c r="J1680" s="113"/>
    </row>
    <row r="1681" spans="4:10" x14ac:dyDescent="0.3">
      <c r="F1681">
        <v>2400</v>
      </c>
      <c r="G1681">
        <v>660</v>
      </c>
      <c r="H1681" s="114">
        <v>67500</v>
      </c>
      <c r="I1681" s="114">
        <v>72600</v>
      </c>
      <c r="J1681" s="113"/>
    </row>
    <row r="1682" spans="4:10" x14ac:dyDescent="0.3">
      <c r="E1682">
        <v>1800</v>
      </c>
      <c r="F1682">
        <v>2200</v>
      </c>
      <c r="G1682">
        <v>660</v>
      </c>
      <c r="H1682" s="114">
        <v>60670</v>
      </c>
      <c r="I1682" s="114">
        <v>65360</v>
      </c>
      <c r="J1682" s="113"/>
    </row>
    <row r="1683" spans="4:10" x14ac:dyDescent="0.3">
      <c r="F1683">
        <v>2400</v>
      </c>
      <c r="G1683">
        <v>660</v>
      </c>
      <c r="H1683" s="114">
        <v>71030</v>
      </c>
      <c r="I1683" s="114">
        <v>76560</v>
      </c>
      <c r="J1683" s="113"/>
    </row>
    <row r="1684" spans="4:10" x14ac:dyDescent="0.3">
      <c r="E1684">
        <v>2000</v>
      </c>
      <c r="F1684">
        <v>2200</v>
      </c>
      <c r="G1684">
        <v>660</v>
      </c>
      <c r="H1684" s="114">
        <v>64240</v>
      </c>
      <c r="I1684" s="114">
        <v>69340</v>
      </c>
      <c r="J1684" s="113"/>
    </row>
    <row r="1685" spans="4:10" x14ac:dyDescent="0.3">
      <c r="F1685">
        <v>2400</v>
      </c>
      <c r="G1685">
        <v>660</v>
      </c>
      <c r="H1685" s="114">
        <v>74580</v>
      </c>
      <c r="I1685" s="114">
        <v>80540</v>
      </c>
      <c r="J1685" s="113"/>
    </row>
    <row r="1686" spans="4:10" x14ac:dyDescent="0.3">
      <c r="D1686" t="s">
        <v>320</v>
      </c>
      <c r="E1686">
        <v>1600</v>
      </c>
      <c r="F1686">
        <v>2200</v>
      </c>
      <c r="G1686">
        <v>660</v>
      </c>
      <c r="H1686" s="114">
        <v>73400</v>
      </c>
      <c r="I1686" s="114">
        <v>77020</v>
      </c>
      <c r="J1686" s="113"/>
    </row>
    <row r="1687" spans="4:10" x14ac:dyDescent="0.3">
      <c r="F1687">
        <v>2400</v>
      </c>
      <c r="G1687">
        <v>660</v>
      </c>
      <c r="H1687" s="114">
        <v>87020</v>
      </c>
      <c r="I1687" s="114">
        <v>91480</v>
      </c>
      <c r="J1687" s="113"/>
    </row>
    <row r="1688" spans="4:10" x14ac:dyDescent="0.3">
      <c r="E1688">
        <v>1800</v>
      </c>
      <c r="F1688">
        <v>2200</v>
      </c>
      <c r="G1688">
        <v>660</v>
      </c>
      <c r="H1688" s="114">
        <v>76930</v>
      </c>
      <c r="I1688" s="114">
        <v>80980</v>
      </c>
      <c r="J1688" s="113"/>
    </row>
    <row r="1689" spans="4:10" x14ac:dyDescent="0.3">
      <c r="F1689">
        <v>2400</v>
      </c>
      <c r="G1689">
        <v>660</v>
      </c>
      <c r="H1689" s="114">
        <v>90550</v>
      </c>
      <c r="I1689" s="114">
        <v>95440</v>
      </c>
      <c r="J1689" s="113"/>
    </row>
    <row r="1690" spans="4:10" x14ac:dyDescent="0.3">
      <c r="E1690">
        <v>2000</v>
      </c>
      <c r="F1690">
        <v>2200</v>
      </c>
      <c r="G1690">
        <v>660</v>
      </c>
      <c r="H1690" s="114">
        <v>80500</v>
      </c>
      <c r="I1690" s="114">
        <v>84960</v>
      </c>
      <c r="J1690" s="113"/>
    </row>
    <row r="1691" spans="4:10" x14ac:dyDescent="0.3">
      <c r="F1691">
        <v>2400</v>
      </c>
      <c r="G1691">
        <v>660</v>
      </c>
      <c r="H1691" s="114">
        <v>94100</v>
      </c>
      <c r="I1691" s="114">
        <v>99420</v>
      </c>
      <c r="J1691" s="113"/>
    </row>
    <row r="1692" spans="4:10" x14ac:dyDescent="0.3">
      <c r="D1692" t="s">
        <v>321</v>
      </c>
      <c r="E1692">
        <v>1600</v>
      </c>
      <c r="F1692">
        <v>2200</v>
      </c>
      <c r="G1692">
        <v>660</v>
      </c>
      <c r="H1692" s="114">
        <v>73400</v>
      </c>
      <c r="I1692" s="114">
        <v>77020</v>
      </c>
      <c r="J1692" s="113"/>
    </row>
    <row r="1693" spans="4:10" x14ac:dyDescent="0.3">
      <c r="F1693">
        <v>2400</v>
      </c>
      <c r="G1693">
        <v>660</v>
      </c>
      <c r="H1693" s="114">
        <v>87020</v>
      </c>
      <c r="I1693" s="114">
        <v>91480</v>
      </c>
      <c r="J1693" s="113"/>
    </row>
    <row r="1694" spans="4:10" x14ac:dyDescent="0.3">
      <c r="E1694">
        <v>1800</v>
      </c>
      <c r="F1694">
        <v>2200</v>
      </c>
      <c r="G1694">
        <v>660</v>
      </c>
      <c r="H1694" s="114">
        <v>76930</v>
      </c>
      <c r="I1694" s="114">
        <v>80980</v>
      </c>
      <c r="J1694" s="113"/>
    </row>
    <row r="1695" spans="4:10" x14ac:dyDescent="0.3">
      <c r="F1695">
        <v>2400</v>
      </c>
      <c r="G1695">
        <v>660</v>
      </c>
      <c r="H1695" s="114">
        <v>90550</v>
      </c>
      <c r="I1695" s="114">
        <v>95440</v>
      </c>
      <c r="J1695" s="113"/>
    </row>
    <row r="1696" spans="4:10" x14ac:dyDescent="0.3">
      <c r="E1696">
        <v>2000</v>
      </c>
      <c r="F1696">
        <v>2200</v>
      </c>
      <c r="G1696">
        <v>660</v>
      </c>
      <c r="H1696" s="114">
        <v>80500</v>
      </c>
      <c r="I1696" s="114">
        <v>84960</v>
      </c>
      <c r="J1696" s="113"/>
    </row>
    <row r="1697" spans="4:10" x14ac:dyDescent="0.3">
      <c r="F1697">
        <v>2400</v>
      </c>
      <c r="G1697">
        <v>660</v>
      </c>
      <c r="H1697" s="114">
        <v>94100</v>
      </c>
      <c r="I1697" s="114">
        <v>99420</v>
      </c>
      <c r="J1697" s="113"/>
    </row>
    <row r="1698" spans="4:10" x14ac:dyDescent="0.3">
      <c r="D1698" t="s">
        <v>322</v>
      </c>
      <c r="E1698">
        <v>1600</v>
      </c>
      <c r="F1698">
        <v>2200</v>
      </c>
      <c r="G1698">
        <v>660</v>
      </c>
      <c r="H1698" s="114">
        <v>64800</v>
      </c>
      <c r="I1698" s="114">
        <v>68420</v>
      </c>
      <c r="J1698" s="113"/>
    </row>
    <row r="1699" spans="4:10" x14ac:dyDescent="0.3">
      <c r="F1699">
        <v>2400</v>
      </c>
      <c r="G1699">
        <v>660</v>
      </c>
      <c r="H1699" s="114">
        <v>76040</v>
      </c>
      <c r="I1699" s="114">
        <v>80500</v>
      </c>
      <c r="J1699" s="113"/>
    </row>
    <row r="1700" spans="4:10" x14ac:dyDescent="0.3">
      <c r="E1700">
        <v>1800</v>
      </c>
      <c r="F1700">
        <v>2200</v>
      </c>
      <c r="G1700">
        <v>660</v>
      </c>
      <c r="H1700" s="114">
        <v>68330</v>
      </c>
      <c r="I1700" s="114">
        <v>72380</v>
      </c>
      <c r="J1700" s="113"/>
    </row>
    <row r="1701" spans="4:10" x14ac:dyDescent="0.3">
      <c r="F1701">
        <v>2400</v>
      </c>
      <c r="G1701">
        <v>660</v>
      </c>
      <c r="H1701" s="114">
        <v>79570</v>
      </c>
      <c r="I1701" s="114">
        <v>84460</v>
      </c>
      <c r="J1701" s="113"/>
    </row>
    <row r="1702" spans="4:10" x14ac:dyDescent="0.3">
      <c r="E1702">
        <v>2000</v>
      </c>
      <c r="F1702">
        <v>2200</v>
      </c>
      <c r="G1702">
        <v>660</v>
      </c>
      <c r="H1702" s="114">
        <v>71900</v>
      </c>
      <c r="I1702" s="114">
        <v>76360</v>
      </c>
      <c r="J1702" s="113"/>
    </row>
    <row r="1703" spans="4:10" x14ac:dyDescent="0.3">
      <c r="F1703">
        <v>2400</v>
      </c>
      <c r="G1703">
        <v>660</v>
      </c>
      <c r="H1703" s="114">
        <v>83120</v>
      </c>
      <c r="I1703" s="114">
        <v>88440</v>
      </c>
      <c r="J1703" s="113"/>
    </row>
    <row r="1704" spans="4:10" x14ac:dyDescent="0.3">
      <c r="D1704" t="s">
        <v>323</v>
      </c>
      <c r="E1704">
        <v>1600</v>
      </c>
      <c r="F1704">
        <v>2200</v>
      </c>
      <c r="G1704">
        <v>660</v>
      </c>
      <c r="H1704" s="114">
        <v>57140</v>
      </c>
      <c r="I1704" s="114">
        <v>61400</v>
      </c>
      <c r="J1704" s="113"/>
    </row>
    <row r="1705" spans="4:10" x14ac:dyDescent="0.3">
      <c r="F1705">
        <v>2400</v>
      </c>
      <c r="G1705">
        <v>660</v>
      </c>
      <c r="H1705" s="114">
        <v>67500</v>
      </c>
      <c r="I1705" s="114">
        <v>72600</v>
      </c>
      <c r="J1705" s="113"/>
    </row>
    <row r="1706" spans="4:10" x14ac:dyDescent="0.3">
      <c r="E1706">
        <v>1800</v>
      </c>
      <c r="F1706">
        <v>2200</v>
      </c>
      <c r="G1706">
        <v>660</v>
      </c>
      <c r="H1706" s="114">
        <v>60670</v>
      </c>
      <c r="I1706" s="114">
        <v>65360</v>
      </c>
      <c r="J1706" s="113"/>
    </row>
    <row r="1707" spans="4:10" x14ac:dyDescent="0.3">
      <c r="F1707">
        <v>2400</v>
      </c>
      <c r="G1707">
        <v>660</v>
      </c>
      <c r="H1707" s="114">
        <v>71030</v>
      </c>
      <c r="I1707" s="114">
        <v>76560</v>
      </c>
      <c r="J1707" s="113"/>
    </row>
    <row r="1708" spans="4:10" x14ac:dyDescent="0.3">
      <c r="E1708">
        <v>2000</v>
      </c>
      <c r="F1708">
        <v>2200</v>
      </c>
      <c r="G1708">
        <v>660</v>
      </c>
      <c r="H1708" s="114">
        <v>64240</v>
      </c>
      <c r="I1708" s="114">
        <v>69340</v>
      </c>
      <c r="J1708" s="113"/>
    </row>
    <row r="1709" spans="4:10" x14ac:dyDescent="0.3">
      <c r="F1709">
        <v>2400</v>
      </c>
      <c r="G1709">
        <v>660</v>
      </c>
      <c r="H1709" s="114">
        <v>74580</v>
      </c>
      <c r="I1709" s="114">
        <v>80540</v>
      </c>
      <c r="J1709" s="113"/>
    </row>
    <row r="1710" spans="4:10" x14ac:dyDescent="0.3">
      <c r="D1710" t="s">
        <v>324</v>
      </c>
      <c r="E1710">
        <v>1600</v>
      </c>
      <c r="F1710">
        <v>2200</v>
      </c>
      <c r="G1710">
        <v>660</v>
      </c>
      <c r="H1710" s="114">
        <v>57140</v>
      </c>
      <c r="I1710" s="114">
        <v>61400</v>
      </c>
      <c r="J1710" s="113"/>
    </row>
    <row r="1711" spans="4:10" x14ac:dyDescent="0.3">
      <c r="F1711">
        <v>2400</v>
      </c>
      <c r="G1711">
        <v>660</v>
      </c>
      <c r="H1711" s="114">
        <v>67500</v>
      </c>
      <c r="I1711" s="114">
        <v>72600</v>
      </c>
      <c r="J1711" s="113"/>
    </row>
    <row r="1712" spans="4:10" x14ac:dyDescent="0.3">
      <c r="E1712">
        <v>1800</v>
      </c>
      <c r="F1712">
        <v>2200</v>
      </c>
      <c r="G1712">
        <v>660</v>
      </c>
      <c r="H1712" s="114">
        <v>60670</v>
      </c>
      <c r="I1712" s="114">
        <v>65360</v>
      </c>
      <c r="J1712" s="113"/>
    </row>
    <row r="1713" spans="4:10" x14ac:dyDescent="0.3">
      <c r="F1713">
        <v>2400</v>
      </c>
      <c r="G1713">
        <v>660</v>
      </c>
      <c r="H1713" s="114">
        <v>71030</v>
      </c>
      <c r="I1713" s="114">
        <v>76560</v>
      </c>
      <c r="J1713" s="113"/>
    </row>
    <row r="1714" spans="4:10" x14ac:dyDescent="0.3">
      <c r="E1714">
        <v>2000</v>
      </c>
      <c r="F1714">
        <v>2200</v>
      </c>
      <c r="G1714">
        <v>660</v>
      </c>
      <c r="H1714" s="114">
        <v>64240</v>
      </c>
      <c r="I1714" s="114">
        <v>69340</v>
      </c>
      <c r="J1714" s="113"/>
    </row>
    <row r="1715" spans="4:10" x14ac:dyDescent="0.3">
      <c r="F1715">
        <v>2400</v>
      </c>
      <c r="G1715">
        <v>660</v>
      </c>
      <c r="H1715" s="114">
        <v>74580</v>
      </c>
      <c r="I1715" s="114">
        <v>80540</v>
      </c>
      <c r="J1715" s="113"/>
    </row>
    <row r="1716" spans="4:10" x14ac:dyDescent="0.3">
      <c r="D1716" t="s">
        <v>325</v>
      </c>
      <c r="E1716">
        <v>1600</v>
      </c>
      <c r="F1716">
        <v>2200</v>
      </c>
      <c r="G1716">
        <v>660</v>
      </c>
      <c r="H1716" s="114">
        <v>46200</v>
      </c>
      <c r="I1716" s="114">
        <v>50460</v>
      </c>
      <c r="J1716" s="113"/>
    </row>
    <row r="1717" spans="4:10" x14ac:dyDescent="0.3">
      <c r="F1717">
        <v>2400</v>
      </c>
      <c r="G1717">
        <v>660</v>
      </c>
      <c r="H1717" s="114">
        <v>53900</v>
      </c>
      <c r="I1717" s="114">
        <v>59000</v>
      </c>
      <c r="J1717" s="113"/>
    </row>
    <row r="1718" spans="4:10" x14ac:dyDescent="0.3">
      <c r="E1718">
        <v>1800</v>
      </c>
      <c r="F1718">
        <v>2200</v>
      </c>
      <c r="G1718">
        <v>660</v>
      </c>
      <c r="H1718" s="114">
        <v>49730</v>
      </c>
      <c r="I1718" s="114">
        <v>54420</v>
      </c>
      <c r="J1718" s="113"/>
    </row>
    <row r="1719" spans="4:10" x14ac:dyDescent="0.3">
      <c r="F1719">
        <v>2400</v>
      </c>
      <c r="G1719">
        <v>660</v>
      </c>
      <c r="H1719" s="114">
        <v>57430</v>
      </c>
      <c r="I1719" s="114">
        <v>62960</v>
      </c>
      <c r="J1719" s="113"/>
    </row>
    <row r="1720" spans="4:10" x14ac:dyDescent="0.3">
      <c r="E1720">
        <v>2000</v>
      </c>
      <c r="F1720">
        <v>2200</v>
      </c>
      <c r="G1720">
        <v>660</v>
      </c>
      <c r="H1720" s="114">
        <v>53300</v>
      </c>
      <c r="I1720" s="114">
        <v>58400</v>
      </c>
      <c r="J1720" s="113"/>
    </row>
    <row r="1721" spans="4:10" x14ac:dyDescent="0.3">
      <c r="F1721">
        <v>2400</v>
      </c>
      <c r="G1721">
        <v>660</v>
      </c>
      <c r="H1721" s="114">
        <v>60980</v>
      </c>
      <c r="I1721" s="114">
        <v>66940</v>
      </c>
      <c r="J1721" s="113"/>
    </row>
    <row r="1722" spans="4:10" x14ac:dyDescent="0.3">
      <c r="D1722" t="s">
        <v>326</v>
      </c>
      <c r="E1722">
        <v>1600</v>
      </c>
      <c r="F1722">
        <v>2200</v>
      </c>
      <c r="G1722">
        <v>660</v>
      </c>
      <c r="H1722" s="114">
        <v>57140</v>
      </c>
      <c r="I1722" s="114">
        <v>61400</v>
      </c>
      <c r="J1722" s="113"/>
    </row>
    <row r="1723" spans="4:10" x14ac:dyDescent="0.3">
      <c r="F1723">
        <v>2400</v>
      </c>
      <c r="G1723">
        <v>660</v>
      </c>
      <c r="H1723" s="114">
        <v>67500</v>
      </c>
      <c r="I1723" s="114">
        <v>72600</v>
      </c>
      <c r="J1723" s="113"/>
    </row>
    <row r="1724" spans="4:10" x14ac:dyDescent="0.3">
      <c r="E1724">
        <v>1800</v>
      </c>
      <c r="F1724">
        <v>2200</v>
      </c>
      <c r="G1724">
        <v>660</v>
      </c>
      <c r="H1724" s="114">
        <v>60670</v>
      </c>
      <c r="I1724" s="114">
        <v>65360</v>
      </c>
      <c r="J1724" s="113"/>
    </row>
    <row r="1725" spans="4:10" x14ac:dyDescent="0.3">
      <c r="F1725">
        <v>2400</v>
      </c>
      <c r="G1725">
        <v>660</v>
      </c>
      <c r="H1725" s="114">
        <v>71030</v>
      </c>
      <c r="I1725" s="114">
        <v>76560</v>
      </c>
      <c r="J1725" s="113"/>
    </row>
    <row r="1726" spans="4:10" x14ac:dyDescent="0.3">
      <c r="E1726">
        <v>2000</v>
      </c>
      <c r="F1726">
        <v>2200</v>
      </c>
      <c r="G1726">
        <v>660</v>
      </c>
      <c r="H1726" s="114">
        <v>64240</v>
      </c>
      <c r="I1726" s="114">
        <v>69340</v>
      </c>
      <c r="J1726" s="113"/>
    </row>
    <row r="1727" spans="4:10" x14ac:dyDescent="0.3">
      <c r="F1727">
        <v>2400</v>
      </c>
      <c r="G1727">
        <v>660</v>
      </c>
      <c r="H1727" s="114">
        <v>74580</v>
      </c>
      <c r="I1727" s="114">
        <v>80540</v>
      </c>
      <c r="J1727" s="113"/>
    </row>
    <row r="1728" spans="4:10" x14ac:dyDescent="0.3">
      <c r="D1728" t="s">
        <v>327</v>
      </c>
      <c r="E1728">
        <v>1600</v>
      </c>
      <c r="F1728">
        <v>2200</v>
      </c>
      <c r="G1728">
        <v>660</v>
      </c>
      <c r="H1728" s="114">
        <v>57140</v>
      </c>
      <c r="I1728" s="114">
        <v>61400</v>
      </c>
      <c r="J1728" s="113"/>
    </row>
    <row r="1729" spans="4:10" x14ac:dyDescent="0.3">
      <c r="F1729">
        <v>2400</v>
      </c>
      <c r="G1729">
        <v>660</v>
      </c>
      <c r="H1729" s="114">
        <v>67500</v>
      </c>
      <c r="I1729" s="114">
        <v>72600</v>
      </c>
      <c r="J1729" s="113"/>
    </row>
    <row r="1730" spans="4:10" x14ac:dyDescent="0.3">
      <c r="E1730">
        <v>1800</v>
      </c>
      <c r="F1730">
        <v>2200</v>
      </c>
      <c r="G1730">
        <v>660</v>
      </c>
      <c r="H1730" s="114">
        <v>60670</v>
      </c>
      <c r="I1730" s="114">
        <v>65360</v>
      </c>
      <c r="J1730" s="113"/>
    </row>
    <row r="1731" spans="4:10" x14ac:dyDescent="0.3">
      <c r="F1731">
        <v>2400</v>
      </c>
      <c r="G1731">
        <v>660</v>
      </c>
      <c r="H1731" s="114">
        <v>71030</v>
      </c>
      <c r="I1731" s="114">
        <v>76560</v>
      </c>
      <c r="J1731" s="113"/>
    </row>
    <row r="1732" spans="4:10" x14ac:dyDescent="0.3">
      <c r="E1732">
        <v>2000</v>
      </c>
      <c r="F1732">
        <v>2200</v>
      </c>
      <c r="G1732">
        <v>660</v>
      </c>
      <c r="H1732" s="114">
        <v>64240</v>
      </c>
      <c r="I1732" s="114">
        <v>69340</v>
      </c>
      <c r="J1732" s="113"/>
    </row>
    <row r="1733" spans="4:10" x14ac:dyDescent="0.3">
      <c r="F1733">
        <v>2400</v>
      </c>
      <c r="G1733">
        <v>660</v>
      </c>
      <c r="H1733" s="114">
        <v>74580</v>
      </c>
      <c r="I1733" s="114">
        <v>80540</v>
      </c>
      <c r="J1733" s="113"/>
    </row>
    <row r="1734" spans="4:10" x14ac:dyDescent="0.3">
      <c r="D1734" t="s">
        <v>328</v>
      </c>
      <c r="E1734">
        <v>1600</v>
      </c>
      <c r="F1734">
        <v>2200</v>
      </c>
      <c r="G1734">
        <v>660</v>
      </c>
      <c r="H1734" s="114">
        <v>57140</v>
      </c>
      <c r="I1734" s="114">
        <v>61400</v>
      </c>
      <c r="J1734" s="113"/>
    </row>
    <row r="1735" spans="4:10" x14ac:dyDescent="0.3">
      <c r="F1735">
        <v>2400</v>
      </c>
      <c r="G1735">
        <v>660</v>
      </c>
      <c r="H1735" s="114">
        <v>67500</v>
      </c>
      <c r="I1735" s="114">
        <v>72600</v>
      </c>
      <c r="J1735" s="113"/>
    </row>
    <row r="1736" spans="4:10" x14ac:dyDescent="0.3">
      <c r="E1736">
        <v>1800</v>
      </c>
      <c r="F1736">
        <v>2200</v>
      </c>
      <c r="G1736">
        <v>660</v>
      </c>
      <c r="H1736" s="114">
        <v>60670</v>
      </c>
      <c r="I1736" s="114">
        <v>65360</v>
      </c>
      <c r="J1736" s="113"/>
    </row>
    <row r="1737" spans="4:10" x14ac:dyDescent="0.3">
      <c r="F1737">
        <v>2400</v>
      </c>
      <c r="G1737">
        <v>660</v>
      </c>
      <c r="H1737" s="114">
        <v>71030</v>
      </c>
      <c r="I1737" s="114">
        <v>76560</v>
      </c>
      <c r="J1737" s="113"/>
    </row>
    <row r="1738" spans="4:10" x14ac:dyDescent="0.3">
      <c r="E1738">
        <v>2000</v>
      </c>
      <c r="F1738">
        <v>2200</v>
      </c>
      <c r="G1738">
        <v>660</v>
      </c>
      <c r="H1738" s="114">
        <v>64240</v>
      </c>
      <c r="I1738" s="114">
        <v>69340</v>
      </c>
      <c r="J1738" s="113"/>
    </row>
    <row r="1739" spans="4:10" x14ac:dyDescent="0.3">
      <c r="F1739">
        <v>2400</v>
      </c>
      <c r="G1739">
        <v>660</v>
      </c>
      <c r="H1739" s="114">
        <v>74580</v>
      </c>
      <c r="I1739" s="114">
        <v>80540</v>
      </c>
      <c r="J1739" s="113"/>
    </row>
    <row r="1740" spans="4:10" x14ac:dyDescent="0.3">
      <c r="D1740" t="s">
        <v>329</v>
      </c>
      <c r="E1740">
        <v>1600</v>
      </c>
      <c r="F1740">
        <v>2200</v>
      </c>
      <c r="G1740">
        <v>660</v>
      </c>
      <c r="H1740" s="114">
        <v>57140</v>
      </c>
      <c r="I1740" s="114">
        <v>61400</v>
      </c>
      <c r="J1740" s="113"/>
    </row>
    <row r="1741" spans="4:10" x14ac:dyDescent="0.3">
      <c r="F1741">
        <v>2400</v>
      </c>
      <c r="G1741">
        <v>660</v>
      </c>
      <c r="H1741" s="114">
        <v>67500</v>
      </c>
      <c r="I1741" s="114">
        <v>72600</v>
      </c>
      <c r="J1741" s="113"/>
    </row>
    <row r="1742" spans="4:10" x14ac:dyDescent="0.3">
      <c r="E1742">
        <v>1800</v>
      </c>
      <c r="F1742">
        <v>2200</v>
      </c>
      <c r="G1742">
        <v>660</v>
      </c>
      <c r="H1742" s="114">
        <v>60670</v>
      </c>
      <c r="I1742" s="114">
        <v>65360</v>
      </c>
      <c r="J1742" s="113"/>
    </row>
    <row r="1743" spans="4:10" x14ac:dyDescent="0.3">
      <c r="F1743">
        <v>2400</v>
      </c>
      <c r="G1743">
        <v>660</v>
      </c>
      <c r="H1743" s="114">
        <v>71030</v>
      </c>
      <c r="I1743" s="114">
        <v>76560</v>
      </c>
      <c r="J1743" s="113"/>
    </row>
    <row r="1744" spans="4:10" x14ac:dyDescent="0.3">
      <c r="E1744">
        <v>2000</v>
      </c>
      <c r="F1744">
        <v>2200</v>
      </c>
      <c r="G1744">
        <v>660</v>
      </c>
      <c r="H1744" s="114">
        <v>64240</v>
      </c>
      <c r="I1744" s="114">
        <v>69340</v>
      </c>
      <c r="J1744" s="113"/>
    </row>
    <row r="1745" spans="4:10" x14ac:dyDescent="0.3">
      <c r="F1745">
        <v>2400</v>
      </c>
      <c r="G1745">
        <v>660</v>
      </c>
      <c r="H1745" s="114">
        <v>74580</v>
      </c>
      <c r="I1745" s="114">
        <v>80540</v>
      </c>
      <c r="J1745" s="113"/>
    </row>
    <row r="1746" spans="4:10" x14ac:dyDescent="0.3">
      <c r="D1746" t="s">
        <v>330</v>
      </c>
      <c r="E1746">
        <v>1600</v>
      </c>
      <c r="F1746">
        <v>2200</v>
      </c>
      <c r="G1746">
        <v>660</v>
      </c>
      <c r="H1746" s="114">
        <v>64800</v>
      </c>
      <c r="I1746" s="114">
        <v>68420</v>
      </c>
      <c r="J1746" s="113"/>
    </row>
    <row r="1747" spans="4:10" x14ac:dyDescent="0.3">
      <c r="F1747">
        <v>2400</v>
      </c>
      <c r="G1747">
        <v>660</v>
      </c>
      <c r="H1747" s="114">
        <v>76040</v>
      </c>
      <c r="I1747" s="114">
        <v>80500</v>
      </c>
      <c r="J1747" s="113"/>
    </row>
    <row r="1748" spans="4:10" x14ac:dyDescent="0.3">
      <c r="E1748">
        <v>1800</v>
      </c>
      <c r="F1748">
        <v>2200</v>
      </c>
      <c r="G1748">
        <v>660</v>
      </c>
      <c r="H1748" s="114">
        <v>68330</v>
      </c>
      <c r="I1748" s="114">
        <v>72380</v>
      </c>
      <c r="J1748" s="113"/>
    </row>
    <row r="1749" spans="4:10" x14ac:dyDescent="0.3">
      <c r="F1749">
        <v>2400</v>
      </c>
      <c r="G1749">
        <v>660</v>
      </c>
      <c r="H1749" s="114">
        <v>79570</v>
      </c>
      <c r="I1749" s="114">
        <v>84460</v>
      </c>
      <c r="J1749" s="113"/>
    </row>
    <row r="1750" spans="4:10" x14ac:dyDescent="0.3">
      <c r="E1750">
        <v>2000</v>
      </c>
      <c r="F1750">
        <v>2200</v>
      </c>
      <c r="G1750">
        <v>660</v>
      </c>
      <c r="H1750" s="114">
        <v>71900</v>
      </c>
      <c r="I1750" s="114">
        <v>76360</v>
      </c>
      <c r="J1750" s="113"/>
    </row>
    <row r="1751" spans="4:10" x14ac:dyDescent="0.3">
      <c r="F1751">
        <v>2400</v>
      </c>
      <c r="G1751">
        <v>660</v>
      </c>
      <c r="H1751" s="114">
        <v>83120</v>
      </c>
      <c r="I1751" s="114">
        <v>88440</v>
      </c>
      <c r="J1751" s="113"/>
    </row>
    <row r="1752" spans="4:10" x14ac:dyDescent="0.3">
      <c r="D1752" t="s">
        <v>331</v>
      </c>
      <c r="E1752">
        <v>1600</v>
      </c>
      <c r="F1752">
        <v>2200</v>
      </c>
      <c r="G1752">
        <v>660</v>
      </c>
      <c r="H1752" s="114">
        <v>62460</v>
      </c>
      <c r="I1752" s="114">
        <v>66080</v>
      </c>
      <c r="J1752" s="113"/>
    </row>
    <row r="1753" spans="4:10" x14ac:dyDescent="0.3">
      <c r="F1753">
        <v>2400</v>
      </c>
      <c r="G1753">
        <v>660</v>
      </c>
      <c r="H1753" s="114">
        <v>73420</v>
      </c>
      <c r="I1753" s="114">
        <v>77880</v>
      </c>
      <c r="J1753" s="113"/>
    </row>
    <row r="1754" spans="4:10" x14ac:dyDescent="0.3">
      <c r="E1754">
        <v>1800</v>
      </c>
      <c r="F1754">
        <v>2200</v>
      </c>
      <c r="G1754">
        <v>660</v>
      </c>
      <c r="H1754" s="114">
        <v>65990</v>
      </c>
      <c r="I1754" s="114">
        <v>70040</v>
      </c>
      <c r="J1754" s="113"/>
    </row>
    <row r="1755" spans="4:10" x14ac:dyDescent="0.3">
      <c r="F1755">
        <v>2400</v>
      </c>
      <c r="G1755">
        <v>660</v>
      </c>
      <c r="H1755" s="114">
        <v>76950</v>
      </c>
      <c r="I1755" s="114">
        <v>81840</v>
      </c>
      <c r="J1755" s="113"/>
    </row>
    <row r="1756" spans="4:10" x14ac:dyDescent="0.3">
      <c r="E1756">
        <v>2000</v>
      </c>
      <c r="F1756">
        <v>2200</v>
      </c>
      <c r="G1756">
        <v>660</v>
      </c>
      <c r="H1756" s="114">
        <v>69560</v>
      </c>
      <c r="I1756" s="114">
        <v>74020</v>
      </c>
      <c r="J1756" s="113"/>
    </row>
    <row r="1757" spans="4:10" x14ac:dyDescent="0.3">
      <c r="F1757">
        <v>2400</v>
      </c>
      <c r="G1757">
        <v>660</v>
      </c>
      <c r="H1757" s="114">
        <v>80500</v>
      </c>
      <c r="I1757" s="114">
        <v>85820</v>
      </c>
      <c r="J1757" s="113"/>
    </row>
    <row r="1758" spans="4:10" x14ac:dyDescent="0.3">
      <c r="D1758" t="s">
        <v>332</v>
      </c>
      <c r="E1758">
        <v>1600</v>
      </c>
      <c r="F1758">
        <v>2200</v>
      </c>
      <c r="G1758">
        <v>660</v>
      </c>
      <c r="H1758" s="114">
        <v>57140</v>
      </c>
      <c r="I1758" s="114">
        <v>61400</v>
      </c>
      <c r="J1758" s="113"/>
    </row>
    <row r="1759" spans="4:10" x14ac:dyDescent="0.3">
      <c r="F1759">
        <v>2400</v>
      </c>
      <c r="G1759">
        <v>660</v>
      </c>
      <c r="H1759" s="114">
        <v>67500</v>
      </c>
      <c r="I1759" s="114">
        <v>72600</v>
      </c>
      <c r="J1759" s="113"/>
    </row>
    <row r="1760" spans="4:10" x14ac:dyDescent="0.3">
      <c r="E1760">
        <v>1800</v>
      </c>
      <c r="F1760">
        <v>2200</v>
      </c>
      <c r="G1760">
        <v>660</v>
      </c>
      <c r="H1760" s="114">
        <v>60670</v>
      </c>
      <c r="I1760" s="114">
        <v>65360</v>
      </c>
      <c r="J1760" s="113"/>
    </row>
    <row r="1761" spans="4:10" x14ac:dyDescent="0.3">
      <c r="F1761">
        <v>2400</v>
      </c>
      <c r="G1761">
        <v>660</v>
      </c>
      <c r="H1761" s="114">
        <v>71030</v>
      </c>
      <c r="I1761" s="114">
        <v>76560</v>
      </c>
      <c r="J1761" s="113"/>
    </row>
    <row r="1762" spans="4:10" x14ac:dyDescent="0.3">
      <c r="E1762">
        <v>2000</v>
      </c>
      <c r="F1762">
        <v>2200</v>
      </c>
      <c r="G1762">
        <v>660</v>
      </c>
      <c r="H1762" s="114">
        <v>64240</v>
      </c>
      <c r="I1762" s="114">
        <v>69340</v>
      </c>
      <c r="J1762" s="113"/>
    </row>
    <row r="1763" spans="4:10" x14ac:dyDescent="0.3">
      <c r="F1763">
        <v>2400</v>
      </c>
      <c r="G1763">
        <v>660</v>
      </c>
      <c r="H1763" s="114">
        <v>74580</v>
      </c>
      <c r="I1763" s="114">
        <v>80540</v>
      </c>
      <c r="J1763" s="113"/>
    </row>
    <row r="1764" spans="4:10" x14ac:dyDescent="0.3">
      <c r="D1764" t="s">
        <v>333</v>
      </c>
      <c r="E1764">
        <v>1600</v>
      </c>
      <c r="F1764">
        <v>2200</v>
      </c>
      <c r="G1764">
        <v>660</v>
      </c>
      <c r="H1764" s="114">
        <v>73400</v>
      </c>
      <c r="I1764" s="114">
        <v>77020</v>
      </c>
      <c r="J1764" s="113"/>
    </row>
    <row r="1765" spans="4:10" x14ac:dyDescent="0.3">
      <c r="F1765">
        <v>2400</v>
      </c>
      <c r="G1765">
        <v>660</v>
      </c>
      <c r="H1765" s="114">
        <v>87020</v>
      </c>
      <c r="I1765" s="114">
        <v>91480</v>
      </c>
      <c r="J1765" s="113"/>
    </row>
    <row r="1766" spans="4:10" x14ac:dyDescent="0.3">
      <c r="E1766">
        <v>1800</v>
      </c>
      <c r="F1766">
        <v>2200</v>
      </c>
      <c r="G1766">
        <v>660</v>
      </c>
      <c r="H1766" s="114">
        <v>76930</v>
      </c>
      <c r="I1766" s="114">
        <v>80980</v>
      </c>
      <c r="J1766" s="113"/>
    </row>
    <row r="1767" spans="4:10" x14ac:dyDescent="0.3">
      <c r="F1767">
        <v>2400</v>
      </c>
      <c r="G1767">
        <v>660</v>
      </c>
      <c r="H1767" s="114">
        <v>90550</v>
      </c>
      <c r="I1767" s="114">
        <v>95440</v>
      </c>
      <c r="J1767" s="113"/>
    </row>
    <row r="1768" spans="4:10" x14ac:dyDescent="0.3">
      <c r="E1768">
        <v>2000</v>
      </c>
      <c r="F1768">
        <v>2200</v>
      </c>
      <c r="G1768">
        <v>660</v>
      </c>
      <c r="H1768" s="114">
        <v>80500</v>
      </c>
      <c r="I1768" s="114">
        <v>84960</v>
      </c>
      <c r="J1768" s="113"/>
    </row>
    <row r="1769" spans="4:10" x14ac:dyDescent="0.3">
      <c r="F1769">
        <v>2400</v>
      </c>
      <c r="G1769">
        <v>660</v>
      </c>
      <c r="H1769" s="114">
        <v>94100</v>
      </c>
      <c r="I1769" s="114">
        <v>99420</v>
      </c>
      <c r="J1769" s="113"/>
    </row>
    <row r="1770" spans="4:10" x14ac:dyDescent="0.3">
      <c r="D1770" t="s">
        <v>334</v>
      </c>
      <c r="E1770">
        <v>1600</v>
      </c>
      <c r="F1770">
        <v>2200</v>
      </c>
      <c r="G1770">
        <v>660</v>
      </c>
      <c r="H1770" s="114">
        <v>57140</v>
      </c>
      <c r="I1770" s="114">
        <v>61400</v>
      </c>
      <c r="J1770" s="113"/>
    </row>
    <row r="1771" spans="4:10" x14ac:dyDescent="0.3">
      <c r="F1771">
        <v>2400</v>
      </c>
      <c r="G1771">
        <v>660</v>
      </c>
      <c r="H1771" s="114">
        <v>67500</v>
      </c>
      <c r="I1771" s="114">
        <v>72600</v>
      </c>
      <c r="J1771" s="113"/>
    </row>
    <row r="1772" spans="4:10" x14ac:dyDescent="0.3">
      <c r="E1772">
        <v>1800</v>
      </c>
      <c r="F1772">
        <v>2200</v>
      </c>
      <c r="G1772">
        <v>660</v>
      </c>
      <c r="H1772" s="114">
        <v>60670</v>
      </c>
      <c r="I1772" s="114">
        <v>65360</v>
      </c>
      <c r="J1772" s="113"/>
    </row>
    <row r="1773" spans="4:10" x14ac:dyDescent="0.3">
      <c r="F1773">
        <v>2400</v>
      </c>
      <c r="G1773">
        <v>660</v>
      </c>
      <c r="H1773" s="114">
        <v>71030</v>
      </c>
      <c r="I1773" s="114">
        <v>76560</v>
      </c>
      <c r="J1773" s="113"/>
    </row>
    <row r="1774" spans="4:10" x14ac:dyDescent="0.3">
      <c r="E1774">
        <v>2000</v>
      </c>
      <c r="F1774">
        <v>2200</v>
      </c>
      <c r="G1774">
        <v>660</v>
      </c>
      <c r="H1774" s="114">
        <v>64240</v>
      </c>
      <c r="I1774" s="114">
        <v>69340</v>
      </c>
      <c r="J1774" s="113"/>
    </row>
    <row r="1775" spans="4:10" x14ac:dyDescent="0.3">
      <c r="F1775">
        <v>2400</v>
      </c>
      <c r="G1775">
        <v>660</v>
      </c>
      <c r="H1775" s="114">
        <v>74580</v>
      </c>
      <c r="I1775" s="114">
        <v>80540</v>
      </c>
      <c r="J1775" s="113"/>
    </row>
    <row r="1776" spans="4:10" x14ac:dyDescent="0.3">
      <c r="D1776" t="s">
        <v>335</v>
      </c>
      <c r="E1776">
        <v>1600</v>
      </c>
      <c r="F1776">
        <v>2200</v>
      </c>
      <c r="G1776">
        <v>660</v>
      </c>
      <c r="H1776" s="114">
        <v>57140</v>
      </c>
      <c r="I1776" s="114">
        <v>61400</v>
      </c>
      <c r="J1776" s="113"/>
    </row>
    <row r="1777" spans="4:10" x14ac:dyDescent="0.3">
      <c r="F1777">
        <v>2400</v>
      </c>
      <c r="G1777">
        <v>660</v>
      </c>
      <c r="H1777" s="114">
        <v>67500</v>
      </c>
      <c r="I1777" s="114">
        <v>72600</v>
      </c>
      <c r="J1777" s="113"/>
    </row>
    <row r="1778" spans="4:10" x14ac:dyDescent="0.3">
      <c r="E1778">
        <v>1800</v>
      </c>
      <c r="F1778">
        <v>2200</v>
      </c>
      <c r="G1778">
        <v>660</v>
      </c>
      <c r="H1778" s="114">
        <v>60670</v>
      </c>
      <c r="I1778" s="114">
        <v>65360</v>
      </c>
      <c r="J1778" s="113"/>
    </row>
    <row r="1779" spans="4:10" x14ac:dyDescent="0.3">
      <c r="F1779">
        <v>2400</v>
      </c>
      <c r="G1779">
        <v>660</v>
      </c>
      <c r="H1779" s="114">
        <v>71030</v>
      </c>
      <c r="I1779" s="114">
        <v>76560</v>
      </c>
      <c r="J1779" s="113"/>
    </row>
    <row r="1780" spans="4:10" x14ac:dyDescent="0.3">
      <c r="E1780">
        <v>2000</v>
      </c>
      <c r="F1780">
        <v>2200</v>
      </c>
      <c r="G1780">
        <v>660</v>
      </c>
      <c r="H1780" s="114">
        <v>64240</v>
      </c>
      <c r="I1780" s="114">
        <v>69340</v>
      </c>
      <c r="J1780" s="113"/>
    </row>
    <row r="1781" spans="4:10" x14ac:dyDescent="0.3">
      <c r="F1781">
        <v>2400</v>
      </c>
      <c r="G1781">
        <v>660</v>
      </c>
      <c r="H1781" s="114">
        <v>74580</v>
      </c>
      <c r="I1781" s="114">
        <v>80540</v>
      </c>
      <c r="J1781" s="113"/>
    </row>
    <row r="1782" spans="4:10" x14ac:dyDescent="0.3">
      <c r="D1782" t="s">
        <v>336</v>
      </c>
      <c r="E1782">
        <v>1600</v>
      </c>
      <c r="F1782">
        <v>2200</v>
      </c>
      <c r="G1782">
        <v>660</v>
      </c>
      <c r="H1782" s="114">
        <v>73400</v>
      </c>
      <c r="I1782" s="114">
        <v>77020</v>
      </c>
      <c r="J1782" s="113"/>
    </row>
    <row r="1783" spans="4:10" x14ac:dyDescent="0.3">
      <c r="F1783">
        <v>2400</v>
      </c>
      <c r="G1783">
        <v>660</v>
      </c>
      <c r="H1783" s="114">
        <v>87020</v>
      </c>
      <c r="I1783" s="114">
        <v>91480</v>
      </c>
      <c r="J1783" s="113"/>
    </row>
    <row r="1784" spans="4:10" x14ac:dyDescent="0.3">
      <c r="E1784">
        <v>1800</v>
      </c>
      <c r="F1784">
        <v>2200</v>
      </c>
      <c r="G1784">
        <v>660</v>
      </c>
      <c r="H1784" s="114">
        <v>76930</v>
      </c>
      <c r="I1784" s="114">
        <v>80980</v>
      </c>
      <c r="J1784" s="113"/>
    </row>
    <row r="1785" spans="4:10" x14ac:dyDescent="0.3">
      <c r="F1785">
        <v>2400</v>
      </c>
      <c r="G1785">
        <v>660</v>
      </c>
      <c r="H1785" s="114">
        <v>90550</v>
      </c>
      <c r="I1785" s="114">
        <v>95440</v>
      </c>
      <c r="J1785" s="113"/>
    </row>
    <row r="1786" spans="4:10" x14ac:dyDescent="0.3">
      <c r="E1786">
        <v>2000</v>
      </c>
      <c r="F1786">
        <v>2200</v>
      </c>
      <c r="G1786">
        <v>660</v>
      </c>
      <c r="H1786" s="114">
        <v>80500</v>
      </c>
      <c r="I1786" s="114">
        <v>84960</v>
      </c>
      <c r="J1786" s="113"/>
    </row>
    <row r="1787" spans="4:10" x14ac:dyDescent="0.3">
      <c r="F1787">
        <v>2400</v>
      </c>
      <c r="G1787">
        <v>660</v>
      </c>
      <c r="H1787" s="114">
        <v>94100</v>
      </c>
      <c r="I1787" s="114">
        <v>99420</v>
      </c>
      <c r="J1787" s="113"/>
    </row>
    <row r="1788" spans="4:10" x14ac:dyDescent="0.3">
      <c r="D1788" t="s">
        <v>337</v>
      </c>
      <c r="E1788">
        <v>1600</v>
      </c>
      <c r="F1788">
        <v>2200</v>
      </c>
      <c r="G1788">
        <v>660</v>
      </c>
      <c r="H1788" s="114">
        <v>64800</v>
      </c>
      <c r="I1788" s="114">
        <v>68420</v>
      </c>
      <c r="J1788" s="113"/>
    </row>
    <row r="1789" spans="4:10" x14ac:dyDescent="0.3">
      <c r="F1789">
        <v>2400</v>
      </c>
      <c r="G1789">
        <v>660</v>
      </c>
      <c r="H1789" s="114">
        <v>76040</v>
      </c>
      <c r="I1789" s="114">
        <v>80500</v>
      </c>
      <c r="J1789" s="113"/>
    </row>
    <row r="1790" spans="4:10" x14ac:dyDescent="0.3">
      <c r="E1790">
        <v>1800</v>
      </c>
      <c r="F1790">
        <v>2200</v>
      </c>
      <c r="G1790">
        <v>660</v>
      </c>
      <c r="H1790" s="114">
        <v>68330</v>
      </c>
      <c r="I1790" s="114">
        <v>72380</v>
      </c>
      <c r="J1790" s="113"/>
    </row>
    <row r="1791" spans="4:10" x14ac:dyDescent="0.3">
      <c r="F1791">
        <v>2400</v>
      </c>
      <c r="G1791">
        <v>660</v>
      </c>
      <c r="H1791" s="114">
        <v>79570</v>
      </c>
      <c r="I1791" s="114">
        <v>84460</v>
      </c>
      <c r="J1791" s="113"/>
    </row>
    <row r="1792" spans="4:10" x14ac:dyDescent="0.3">
      <c r="E1792">
        <v>2000</v>
      </c>
      <c r="F1792">
        <v>2200</v>
      </c>
      <c r="G1792">
        <v>660</v>
      </c>
      <c r="H1792" s="114">
        <v>71900</v>
      </c>
      <c r="I1792" s="114">
        <v>76360</v>
      </c>
      <c r="J1792" s="113"/>
    </row>
    <row r="1793" spans="4:10" x14ac:dyDescent="0.3">
      <c r="F1793">
        <v>2400</v>
      </c>
      <c r="G1793">
        <v>660</v>
      </c>
      <c r="H1793" s="114">
        <v>83120</v>
      </c>
      <c r="I1793" s="114">
        <v>88440</v>
      </c>
      <c r="J1793" s="113"/>
    </row>
    <row r="1794" spans="4:10" x14ac:dyDescent="0.3">
      <c r="D1794" t="s">
        <v>338</v>
      </c>
      <c r="E1794">
        <v>1600</v>
      </c>
      <c r="F1794">
        <v>2200</v>
      </c>
      <c r="G1794">
        <v>660</v>
      </c>
      <c r="H1794" s="114">
        <v>64800</v>
      </c>
      <c r="I1794" s="114">
        <v>68420</v>
      </c>
      <c r="J1794" s="113"/>
    </row>
    <row r="1795" spans="4:10" x14ac:dyDescent="0.3">
      <c r="F1795">
        <v>2400</v>
      </c>
      <c r="G1795">
        <v>660</v>
      </c>
      <c r="H1795" s="114">
        <v>76040</v>
      </c>
      <c r="I1795" s="114">
        <v>80500</v>
      </c>
      <c r="J1795" s="113"/>
    </row>
    <row r="1796" spans="4:10" x14ac:dyDescent="0.3">
      <c r="E1796">
        <v>1800</v>
      </c>
      <c r="F1796">
        <v>2200</v>
      </c>
      <c r="G1796">
        <v>660</v>
      </c>
      <c r="H1796" s="114">
        <v>68330</v>
      </c>
      <c r="I1796" s="114">
        <v>72380</v>
      </c>
      <c r="J1796" s="113"/>
    </row>
    <row r="1797" spans="4:10" x14ac:dyDescent="0.3">
      <c r="F1797">
        <v>2400</v>
      </c>
      <c r="G1797">
        <v>660</v>
      </c>
      <c r="H1797" s="114">
        <v>79570</v>
      </c>
      <c r="I1797" s="114">
        <v>84460</v>
      </c>
      <c r="J1797" s="113"/>
    </row>
    <row r="1798" spans="4:10" x14ac:dyDescent="0.3">
      <c r="E1798">
        <v>2000</v>
      </c>
      <c r="F1798">
        <v>2200</v>
      </c>
      <c r="G1798">
        <v>660</v>
      </c>
      <c r="H1798" s="114">
        <v>71900</v>
      </c>
      <c r="I1798" s="114">
        <v>76360</v>
      </c>
      <c r="J1798" s="113"/>
    </row>
    <row r="1799" spans="4:10" x14ac:dyDescent="0.3">
      <c r="F1799">
        <v>2400</v>
      </c>
      <c r="G1799">
        <v>660</v>
      </c>
      <c r="H1799" s="114">
        <v>83120</v>
      </c>
      <c r="I1799" s="114">
        <v>88440</v>
      </c>
      <c r="J1799" s="113"/>
    </row>
    <row r="1800" spans="4:10" x14ac:dyDescent="0.3">
      <c r="D1800" t="s">
        <v>339</v>
      </c>
      <c r="E1800">
        <v>1600</v>
      </c>
      <c r="F1800">
        <v>2200</v>
      </c>
      <c r="G1800">
        <v>660</v>
      </c>
      <c r="H1800" s="114">
        <v>53860</v>
      </c>
      <c r="I1800" s="114">
        <v>57480</v>
      </c>
      <c r="J1800" s="113"/>
    </row>
    <row r="1801" spans="4:10" x14ac:dyDescent="0.3">
      <c r="F1801">
        <v>2400</v>
      </c>
      <c r="G1801">
        <v>660</v>
      </c>
      <c r="H1801" s="114">
        <v>62440</v>
      </c>
      <c r="I1801" s="114">
        <v>66900</v>
      </c>
      <c r="J1801" s="113"/>
    </row>
    <row r="1802" spans="4:10" x14ac:dyDescent="0.3">
      <c r="E1802">
        <v>1800</v>
      </c>
      <c r="F1802">
        <v>2200</v>
      </c>
      <c r="G1802">
        <v>660</v>
      </c>
      <c r="H1802" s="114">
        <v>57390</v>
      </c>
      <c r="I1802" s="114">
        <v>61440</v>
      </c>
      <c r="J1802" s="113"/>
    </row>
    <row r="1803" spans="4:10" x14ac:dyDescent="0.3">
      <c r="F1803">
        <v>2400</v>
      </c>
      <c r="G1803">
        <v>660</v>
      </c>
      <c r="H1803" s="114">
        <v>65970</v>
      </c>
      <c r="I1803" s="114">
        <v>70860</v>
      </c>
      <c r="J1803" s="113"/>
    </row>
    <row r="1804" spans="4:10" x14ac:dyDescent="0.3">
      <c r="E1804">
        <v>2000</v>
      </c>
      <c r="F1804">
        <v>2200</v>
      </c>
      <c r="G1804">
        <v>660</v>
      </c>
      <c r="H1804" s="114">
        <v>60960</v>
      </c>
      <c r="I1804" s="114">
        <v>65420</v>
      </c>
      <c r="J1804" s="113"/>
    </row>
    <row r="1805" spans="4:10" x14ac:dyDescent="0.3">
      <c r="F1805">
        <v>2400</v>
      </c>
      <c r="G1805">
        <v>660</v>
      </c>
      <c r="H1805" s="114">
        <v>69520</v>
      </c>
      <c r="I1805" s="114">
        <v>74840</v>
      </c>
      <c r="J1805" s="113"/>
    </row>
    <row r="1806" spans="4:10" x14ac:dyDescent="0.3">
      <c r="D1806" t="s">
        <v>340</v>
      </c>
      <c r="E1806">
        <v>1600</v>
      </c>
      <c r="F1806">
        <v>2200</v>
      </c>
      <c r="G1806">
        <v>660</v>
      </c>
      <c r="H1806" s="114">
        <v>48540</v>
      </c>
      <c r="I1806" s="114">
        <v>52800</v>
      </c>
      <c r="J1806" s="113"/>
    </row>
    <row r="1807" spans="4:10" x14ac:dyDescent="0.3">
      <c r="F1807">
        <v>2400</v>
      </c>
      <c r="G1807">
        <v>660</v>
      </c>
      <c r="H1807" s="114">
        <v>56520</v>
      </c>
      <c r="I1807" s="114">
        <v>61620</v>
      </c>
      <c r="J1807" s="113"/>
    </row>
    <row r="1808" spans="4:10" x14ac:dyDescent="0.3">
      <c r="E1808">
        <v>1800</v>
      </c>
      <c r="F1808">
        <v>2200</v>
      </c>
      <c r="G1808">
        <v>660</v>
      </c>
      <c r="H1808" s="114">
        <v>52070</v>
      </c>
      <c r="I1808" s="114">
        <v>56760</v>
      </c>
      <c r="J1808" s="113"/>
    </row>
    <row r="1809" spans="4:10" x14ac:dyDescent="0.3">
      <c r="F1809">
        <v>2400</v>
      </c>
      <c r="G1809">
        <v>660</v>
      </c>
      <c r="H1809" s="114">
        <v>60050</v>
      </c>
      <c r="I1809" s="114">
        <v>65580</v>
      </c>
      <c r="J1809" s="113"/>
    </row>
    <row r="1810" spans="4:10" x14ac:dyDescent="0.3">
      <c r="E1810">
        <v>2000</v>
      </c>
      <c r="F1810">
        <v>2200</v>
      </c>
      <c r="G1810">
        <v>660</v>
      </c>
      <c r="H1810" s="114">
        <v>55640</v>
      </c>
      <c r="I1810" s="114">
        <v>60740</v>
      </c>
      <c r="J1810" s="113"/>
    </row>
    <row r="1811" spans="4:10" x14ac:dyDescent="0.3">
      <c r="F1811">
        <v>2400</v>
      </c>
      <c r="G1811">
        <v>660</v>
      </c>
      <c r="H1811" s="114">
        <v>63600</v>
      </c>
      <c r="I1811" s="114">
        <v>69560</v>
      </c>
      <c r="J1811" s="113"/>
    </row>
    <row r="1812" spans="4:10" x14ac:dyDescent="0.3">
      <c r="D1812" t="s">
        <v>341</v>
      </c>
      <c r="E1812">
        <v>1600</v>
      </c>
      <c r="F1812">
        <v>2200</v>
      </c>
      <c r="G1812">
        <v>660</v>
      </c>
      <c r="H1812" s="114">
        <v>64800</v>
      </c>
      <c r="I1812" s="114">
        <v>68420</v>
      </c>
      <c r="J1812" s="113"/>
    </row>
    <row r="1813" spans="4:10" x14ac:dyDescent="0.3">
      <c r="F1813">
        <v>2400</v>
      </c>
      <c r="G1813">
        <v>660</v>
      </c>
      <c r="H1813" s="114">
        <v>76040</v>
      </c>
      <c r="I1813" s="114">
        <v>80500</v>
      </c>
      <c r="J1813" s="113"/>
    </row>
    <row r="1814" spans="4:10" x14ac:dyDescent="0.3">
      <c r="E1814">
        <v>1800</v>
      </c>
      <c r="F1814">
        <v>2200</v>
      </c>
      <c r="G1814">
        <v>660</v>
      </c>
      <c r="H1814" s="114">
        <v>68330</v>
      </c>
      <c r="I1814" s="114">
        <v>72380</v>
      </c>
      <c r="J1814" s="113"/>
    </row>
    <row r="1815" spans="4:10" x14ac:dyDescent="0.3">
      <c r="F1815">
        <v>2400</v>
      </c>
      <c r="G1815">
        <v>660</v>
      </c>
      <c r="H1815" s="114">
        <v>79570</v>
      </c>
      <c r="I1815" s="114">
        <v>84460</v>
      </c>
      <c r="J1815" s="113"/>
    </row>
    <row r="1816" spans="4:10" x14ac:dyDescent="0.3">
      <c r="E1816">
        <v>2000</v>
      </c>
      <c r="F1816">
        <v>2200</v>
      </c>
      <c r="G1816">
        <v>660</v>
      </c>
      <c r="H1816" s="114">
        <v>71900</v>
      </c>
      <c r="I1816" s="114">
        <v>76360</v>
      </c>
      <c r="J1816" s="113"/>
    </row>
    <row r="1817" spans="4:10" x14ac:dyDescent="0.3">
      <c r="F1817">
        <v>2400</v>
      </c>
      <c r="G1817">
        <v>660</v>
      </c>
      <c r="H1817" s="114">
        <v>83120</v>
      </c>
      <c r="I1817" s="114">
        <v>88440</v>
      </c>
      <c r="J1817" s="113"/>
    </row>
    <row r="1818" spans="4:10" x14ac:dyDescent="0.3">
      <c r="D1818" t="s">
        <v>342</v>
      </c>
      <c r="E1818">
        <v>1600</v>
      </c>
      <c r="F1818">
        <v>2200</v>
      </c>
      <c r="G1818">
        <v>660</v>
      </c>
      <c r="H1818" s="114">
        <v>64800</v>
      </c>
      <c r="I1818" s="114">
        <v>68420</v>
      </c>
      <c r="J1818" s="113"/>
    </row>
    <row r="1819" spans="4:10" x14ac:dyDescent="0.3">
      <c r="F1819">
        <v>2400</v>
      </c>
      <c r="G1819">
        <v>660</v>
      </c>
      <c r="H1819" s="114">
        <v>76040</v>
      </c>
      <c r="I1819" s="114">
        <v>80500</v>
      </c>
      <c r="J1819" s="113"/>
    </row>
    <row r="1820" spans="4:10" x14ac:dyDescent="0.3">
      <c r="E1820">
        <v>1800</v>
      </c>
      <c r="F1820">
        <v>2200</v>
      </c>
      <c r="G1820">
        <v>660</v>
      </c>
      <c r="H1820" s="114">
        <v>68330</v>
      </c>
      <c r="I1820" s="114">
        <v>72380</v>
      </c>
      <c r="J1820" s="113"/>
    </row>
    <row r="1821" spans="4:10" x14ac:dyDescent="0.3">
      <c r="F1821">
        <v>2400</v>
      </c>
      <c r="G1821">
        <v>660</v>
      </c>
      <c r="H1821" s="114">
        <v>79570</v>
      </c>
      <c r="I1821" s="114">
        <v>84460</v>
      </c>
      <c r="J1821" s="113"/>
    </row>
    <row r="1822" spans="4:10" x14ac:dyDescent="0.3">
      <c r="E1822">
        <v>2000</v>
      </c>
      <c r="F1822">
        <v>2200</v>
      </c>
      <c r="G1822">
        <v>660</v>
      </c>
      <c r="H1822" s="114">
        <v>71900</v>
      </c>
      <c r="I1822" s="114">
        <v>76360</v>
      </c>
      <c r="J1822" s="113"/>
    </row>
    <row r="1823" spans="4:10" x14ac:dyDescent="0.3">
      <c r="F1823">
        <v>2400</v>
      </c>
      <c r="G1823">
        <v>660</v>
      </c>
      <c r="H1823" s="114">
        <v>83120</v>
      </c>
      <c r="I1823" s="114">
        <v>88440</v>
      </c>
      <c r="J1823" s="113"/>
    </row>
    <row r="1824" spans="4:10" x14ac:dyDescent="0.3">
      <c r="D1824" t="s">
        <v>343</v>
      </c>
      <c r="E1824">
        <v>1600</v>
      </c>
      <c r="F1824">
        <v>2200</v>
      </c>
      <c r="G1824">
        <v>660</v>
      </c>
      <c r="H1824" s="114">
        <v>64800</v>
      </c>
      <c r="I1824" s="114">
        <v>68420</v>
      </c>
      <c r="J1824" s="113"/>
    </row>
    <row r="1825" spans="4:10" x14ac:dyDescent="0.3">
      <c r="F1825">
        <v>2400</v>
      </c>
      <c r="G1825">
        <v>660</v>
      </c>
      <c r="H1825" s="114">
        <v>76040</v>
      </c>
      <c r="I1825" s="114">
        <v>80500</v>
      </c>
      <c r="J1825" s="113"/>
    </row>
    <row r="1826" spans="4:10" x14ac:dyDescent="0.3">
      <c r="E1826">
        <v>1800</v>
      </c>
      <c r="F1826">
        <v>2200</v>
      </c>
      <c r="G1826">
        <v>660</v>
      </c>
      <c r="H1826" s="114">
        <v>68330</v>
      </c>
      <c r="I1826" s="114">
        <v>72380</v>
      </c>
      <c r="J1826" s="113"/>
    </row>
    <row r="1827" spans="4:10" x14ac:dyDescent="0.3">
      <c r="F1827">
        <v>2400</v>
      </c>
      <c r="G1827">
        <v>660</v>
      </c>
      <c r="H1827" s="114">
        <v>79570</v>
      </c>
      <c r="I1827" s="114">
        <v>84460</v>
      </c>
      <c r="J1827" s="113"/>
    </row>
    <row r="1828" spans="4:10" x14ac:dyDescent="0.3">
      <c r="E1828">
        <v>2000</v>
      </c>
      <c r="F1828">
        <v>2200</v>
      </c>
      <c r="G1828">
        <v>660</v>
      </c>
      <c r="H1828" s="114">
        <v>71900</v>
      </c>
      <c r="I1828" s="114">
        <v>76360</v>
      </c>
      <c r="J1828" s="113"/>
    </row>
    <row r="1829" spans="4:10" x14ac:dyDescent="0.3">
      <c r="F1829">
        <v>2400</v>
      </c>
      <c r="G1829">
        <v>660</v>
      </c>
      <c r="H1829" s="114">
        <v>83120</v>
      </c>
      <c r="I1829" s="114">
        <v>88440</v>
      </c>
      <c r="J1829" s="113"/>
    </row>
    <row r="1830" spans="4:10" x14ac:dyDescent="0.3">
      <c r="D1830" t="s">
        <v>344</v>
      </c>
      <c r="E1830">
        <v>1600</v>
      </c>
      <c r="F1830">
        <v>2200</v>
      </c>
      <c r="G1830">
        <v>660</v>
      </c>
      <c r="H1830" s="114">
        <v>62460</v>
      </c>
      <c r="I1830" s="114">
        <v>66080</v>
      </c>
      <c r="J1830" s="113"/>
    </row>
    <row r="1831" spans="4:10" x14ac:dyDescent="0.3">
      <c r="F1831">
        <v>2400</v>
      </c>
      <c r="G1831">
        <v>660</v>
      </c>
      <c r="H1831" s="114">
        <v>73420</v>
      </c>
      <c r="I1831" s="114">
        <v>77880</v>
      </c>
      <c r="J1831" s="113"/>
    </row>
    <row r="1832" spans="4:10" x14ac:dyDescent="0.3">
      <c r="E1832">
        <v>1800</v>
      </c>
      <c r="F1832">
        <v>2200</v>
      </c>
      <c r="G1832">
        <v>660</v>
      </c>
      <c r="H1832" s="114">
        <v>65990</v>
      </c>
      <c r="I1832" s="114">
        <v>70040</v>
      </c>
      <c r="J1832" s="113"/>
    </row>
    <row r="1833" spans="4:10" x14ac:dyDescent="0.3">
      <c r="F1833">
        <v>2400</v>
      </c>
      <c r="G1833">
        <v>660</v>
      </c>
      <c r="H1833" s="114">
        <v>76950</v>
      </c>
      <c r="I1833" s="114">
        <v>81840</v>
      </c>
      <c r="J1833" s="113"/>
    </row>
    <row r="1834" spans="4:10" x14ac:dyDescent="0.3">
      <c r="E1834">
        <v>2000</v>
      </c>
      <c r="F1834">
        <v>2200</v>
      </c>
      <c r="G1834">
        <v>660</v>
      </c>
      <c r="H1834" s="114">
        <v>69560</v>
      </c>
      <c r="I1834" s="114">
        <v>74020</v>
      </c>
      <c r="J1834" s="113"/>
    </row>
    <row r="1835" spans="4:10" x14ac:dyDescent="0.3">
      <c r="F1835">
        <v>2400</v>
      </c>
      <c r="G1835">
        <v>660</v>
      </c>
      <c r="H1835" s="114">
        <v>80500</v>
      </c>
      <c r="I1835" s="114">
        <v>85820</v>
      </c>
      <c r="J1835" s="113"/>
    </row>
    <row r="1836" spans="4:10" x14ac:dyDescent="0.3">
      <c r="D1836" t="s">
        <v>345</v>
      </c>
      <c r="E1836">
        <v>1600</v>
      </c>
      <c r="F1836">
        <v>2200</v>
      </c>
      <c r="G1836">
        <v>660</v>
      </c>
      <c r="H1836" s="114">
        <v>57140</v>
      </c>
      <c r="I1836" s="114">
        <v>61400</v>
      </c>
      <c r="J1836" s="113"/>
    </row>
    <row r="1837" spans="4:10" x14ac:dyDescent="0.3">
      <c r="F1837">
        <v>2400</v>
      </c>
      <c r="G1837">
        <v>660</v>
      </c>
      <c r="H1837" s="114">
        <v>67500</v>
      </c>
      <c r="I1837" s="114">
        <v>72600</v>
      </c>
      <c r="J1837" s="113"/>
    </row>
    <row r="1838" spans="4:10" x14ac:dyDescent="0.3">
      <c r="E1838">
        <v>1800</v>
      </c>
      <c r="F1838">
        <v>2200</v>
      </c>
      <c r="G1838">
        <v>660</v>
      </c>
      <c r="H1838" s="114">
        <v>60670</v>
      </c>
      <c r="I1838" s="114">
        <v>65360</v>
      </c>
      <c r="J1838" s="113"/>
    </row>
    <row r="1839" spans="4:10" x14ac:dyDescent="0.3">
      <c r="F1839">
        <v>2400</v>
      </c>
      <c r="G1839">
        <v>660</v>
      </c>
      <c r="H1839" s="114">
        <v>71030</v>
      </c>
      <c r="I1839" s="114">
        <v>76560</v>
      </c>
      <c r="J1839" s="113"/>
    </row>
    <row r="1840" spans="4:10" x14ac:dyDescent="0.3">
      <c r="E1840">
        <v>2000</v>
      </c>
      <c r="F1840">
        <v>2200</v>
      </c>
      <c r="G1840">
        <v>660</v>
      </c>
      <c r="H1840" s="114">
        <v>64240</v>
      </c>
      <c r="I1840" s="114">
        <v>69340</v>
      </c>
      <c r="J1840" s="113"/>
    </row>
    <row r="1841" spans="4:10" x14ac:dyDescent="0.3">
      <c r="F1841">
        <v>2400</v>
      </c>
      <c r="G1841">
        <v>660</v>
      </c>
      <c r="H1841" s="114">
        <v>74580</v>
      </c>
      <c r="I1841" s="114">
        <v>80540</v>
      </c>
      <c r="J1841" s="113"/>
    </row>
    <row r="1842" spans="4:10" x14ac:dyDescent="0.3">
      <c r="D1842" t="s">
        <v>346</v>
      </c>
      <c r="E1842">
        <v>1600</v>
      </c>
      <c r="F1842">
        <v>2200</v>
      </c>
      <c r="G1842">
        <v>660</v>
      </c>
      <c r="H1842" s="114">
        <v>73400</v>
      </c>
      <c r="I1842" s="114">
        <v>77020</v>
      </c>
      <c r="J1842" s="113"/>
    </row>
    <row r="1843" spans="4:10" x14ac:dyDescent="0.3">
      <c r="F1843">
        <v>2400</v>
      </c>
      <c r="G1843">
        <v>660</v>
      </c>
      <c r="H1843" s="114">
        <v>87020</v>
      </c>
      <c r="I1843" s="114">
        <v>91480</v>
      </c>
      <c r="J1843" s="113"/>
    </row>
    <row r="1844" spans="4:10" x14ac:dyDescent="0.3">
      <c r="E1844">
        <v>1800</v>
      </c>
      <c r="F1844">
        <v>2200</v>
      </c>
      <c r="G1844">
        <v>660</v>
      </c>
      <c r="H1844" s="114">
        <v>76930</v>
      </c>
      <c r="I1844" s="114">
        <v>80980</v>
      </c>
      <c r="J1844" s="113"/>
    </row>
    <row r="1845" spans="4:10" x14ac:dyDescent="0.3">
      <c r="F1845">
        <v>2400</v>
      </c>
      <c r="G1845">
        <v>660</v>
      </c>
      <c r="H1845" s="114">
        <v>90550</v>
      </c>
      <c r="I1845" s="114">
        <v>95440</v>
      </c>
      <c r="J1845" s="113"/>
    </row>
    <row r="1846" spans="4:10" x14ac:dyDescent="0.3">
      <c r="E1846">
        <v>2000</v>
      </c>
      <c r="F1846">
        <v>2200</v>
      </c>
      <c r="G1846">
        <v>660</v>
      </c>
      <c r="H1846" s="114">
        <v>80500</v>
      </c>
      <c r="I1846" s="114">
        <v>84960</v>
      </c>
      <c r="J1846" s="113"/>
    </row>
    <row r="1847" spans="4:10" x14ac:dyDescent="0.3">
      <c r="F1847">
        <v>2400</v>
      </c>
      <c r="G1847">
        <v>660</v>
      </c>
      <c r="H1847" s="114">
        <v>94100</v>
      </c>
      <c r="I1847" s="114">
        <v>99420</v>
      </c>
      <c r="J1847" s="113"/>
    </row>
    <row r="1848" spans="4:10" x14ac:dyDescent="0.3">
      <c r="D1848" t="s">
        <v>347</v>
      </c>
      <c r="E1848">
        <v>1600</v>
      </c>
      <c r="F1848">
        <v>2200</v>
      </c>
      <c r="G1848">
        <v>660</v>
      </c>
      <c r="H1848" s="114">
        <v>73400</v>
      </c>
      <c r="I1848" s="114">
        <v>77020</v>
      </c>
      <c r="J1848" s="113"/>
    </row>
    <row r="1849" spans="4:10" x14ac:dyDescent="0.3">
      <c r="F1849">
        <v>2400</v>
      </c>
      <c r="G1849">
        <v>660</v>
      </c>
      <c r="H1849" s="114">
        <v>87020</v>
      </c>
      <c r="I1849" s="114">
        <v>91480</v>
      </c>
      <c r="J1849" s="113"/>
    </row>
    <row r="1850" spans="4:10" x14ac:dyDescent="0.3">
      <c r="E1850">
        <v>1800</v>
      </c>
      <c r="F1850">
        <v>2200</v>
      </c>
      <c r="G1850">
        <v>660</v>
      </c>
      <c r="H1850" s="114">
        <v>76930</v>
      </c>
      <c r="I1850" s="114">
        <v>80980</v>
      </c>
      <c r="J1850" s="113"/>
    </row>
    <row r="1851" spans="4:10" x14ac:dyDescent="0.3">
      <c r="F1851">
        <v>2400</v>
      </c>
      <c r="G1851">
        <v>660</v>
      </c>
      <c r="H1851" s="114">
        <v>90550</v>
      </c>
      <c r="I1851" s="114">
        <v>95440</v>
      </c>
      <c r="J1851" s="113"/>
    </row>
    <row r="1852" spans="4:10" x14ac:dyDescent="0.3">
      <c r="E1852">
        <v>2000</v>
      </c>
      <c r="F1852">
        <v>2200</v>
      </c>
      <c r="G1852">
        <v>660</v>
      </c>
      <c r="H1852" s="114">
        <v>80500</v>
      </c>
      <c r="I1852" s="114">
        <v>84960</v>
      </c>
      <c r="J1852" s="113"/>
    </row>
    <row r="1853" spans="4:10" x14ac:dyDescent="0.3">
      <c r="F1853">
        <v>2400</v>
      </c>
      <c r="G1853">
        <v>660</v>
      </c>
      <c r="H1853" s="114">
        <v>94100</v>
      </c>
      <c r="I1853" s="114">
        <v>99420</v>
      </c>
      <c r="J1853" s="113"/>
    </row>
    <row r="1854" spans="4:10" x14ac:dyDescent="0.3">
      <c r="D1854" t="s">
        <v>348</v>
      </c>
      <c r="E1854">
        <v>1600</v>
      </c>
      <c r="F1854">
        <v>2200</v>
      </c>
      <c r="G1854">
        <v>660</v>
      </c>
      <c r="H1854" s="114">
        <v>64800</v>
      </c>
      <c r="I1854" s="114">
        <v>68420</v>
      </c>
      <c r="J1854" s="113"/>
    </row>
    <row r="1855" spans="4:10" x14ac:dyDescent="0.3">
      <c r="F1855">
        <v>2400</v>
      </c>
      <c r="G1855">
        <v>660</v>
      </c>
      <c r="H1855" s="114">
        <v>76040</v>
      </c>
      <c r="I1855" s="114">
        <v>80500</v>
      </c>
      <c r="J1855" s="113"/>
    </row>
    <row r="1856" spans="4:10" x14ac:dyDescent="0.3">
      <c r="E1856">
        <v>1800</v>
      </c>
      <c r="F1856">
        <v>2200</v>
      </c>
      <c r="G1856">
        <v>660</v>
      </c>
      <c r="H1856" s="114">
        <v>68330</v>
      </c>
      <c r="I1856" s="114">
        <v>72380</v>
      </c>
      <c r="J1856" s="113"/>
    </row>
    <row r="1857" spans="4:10" x14ac:dyDescent="0.3">
      <c r="F1857">
        <v>2400</v>
      </c>
      <c r="G1857">
        <v>660</v>
      </c>
      <c r="H1857" s="114">
        <v>79570</v>
      </c>
      <c r="I1857" s="114">
        <v>84460</v>
      </c>
      <c r="J1857" s="113"/>
    </row>
    <row r="1858" spans="4:10" x14ac:dyDescent="0.3">
      <c r="E1858">
        <v>2000</v>
      </c>
      <c r="F1858">
        <v>2200</v>
      </c>
      <c r="G1858">
        <v>660</v>
      </c>
      <c r="H1858" s="114">
        <v>71900</v>
      </c>
      <c r="I1858" s="114">
        <v>76360</v>
      </c>
      <c r="J1858" s="113"/>
    </row>
    <row r="1859" spans="4:10" x14ac:dyDescent="0.3">
      <c r="F1859">
        <v>2400</v>
      </c>
      <c r="G1859">
        <v>660</v>
      </c>
      <c r="H1859" s="114">
        <v>83120</v>
      </c>
      <c r="I1859" s="114">
        <v>88440</v>
      </c>
      <c r="J1859" s="113"/>
    </row>
    <row r="1860" spans="4:10" x14ac:dyDescent="0.3">
      <c r="D1860" t="s">
        <v>349</v>
      </c>
      <c r="E1860">
        <v>1600</v>
      </c>
      <c r="F1860">
        <v>2200</v>
      </c>
      <c r="G1860">
        <v>660</v>
      </c>
      <c r="H1860" s="114">
        <v>64800</v>
      </c>
      <c r="I1860" s="114">
        <v>68420</v>
      </c>
      <c r="J1860" s="113"/>
    </row>
    <row r="1861" spans="4:10" x14ac:dyDescent="0.3">
      <c r="F1861">
        <v>2400</v>
      </c>
      <c r="G1861">
        <v>660</v>
      </c>
      <c r="H1861" s="114">
        <v>76040</v>
      </c>
      <c r="I1861" s="114">
        <v>80500</v>
      </c>
      <c r="J1861" s="113"/>
    </row>
    <row r="1862" spans="4:10" x14ac:dyDescent="0.3">
      <c r="E1862">
        <v>1800</v>
      </c>
      <c r="F1862">
        <v>2200</v>
      </c>
      <c r="G1862">
        <v>660</v>
      </c>
      <c r="H1862" s="114">
        <v>68330</v>
      </c>
      <c r="I1862" s="114">
        <v>72380</v>
      </c>
      <c r="J1862" s="113"/>
    </row>
    <row r="1863" spans="4:10" x14ac:dyDescent="0.3">
      <c r="F1863">
        <v>2400</v>
      </c>
      <c r="G1863">
        <v>660</v>
      </c>
      <c r="H1863" s="114">
        <v>79570</v>
      </c>
      <c r="I1863" s="114">
        <v>84460</v>
      </c>
      <c r="J1863" s="113"/>
    </row>
    <row r="1864" spans="4:10" x14ac:dyDescent="0.3">
      <c r="E1864">
        <v>2000</v>
      </c>
      <c r="F1864">
        <v>2200</v>
      </c>
      <c r="G1864">
        <v>660</v>
      </c>
      <c r="H1864" s="114">
        <v>71900</v>
      </c>
      <c r="I1864" s="114">
        <v>76360</v>
      </c>
      <c r="J1864" s="113"/>
    </row>
    <row r="1865" spans="4:10" x14ac:dyDescent="0.3">
      <c r="F1865">
        <v>2400</v>
      </c>
      <c r="G1865">
        <v>660</v>
      </c>
      <c r="H1865" s="114">
        <v>83120</v>
      </c>
      <c r="I1865" s="114">
        <v>88440</v>
      </c>
      <c r="J1865" s="113"/>
    </row>
    <row r="1866" spans="4:10" x14ac:dyDescent="0.3">
      <c r="D1866" t="s">
        <v>350</v>
      </c>
      <c r="E1866">
        <v>1600</v>
      </c>
      <c r="F1866">
        <v>2200</v>
      </c>
      <c r="G1866">
        <v>660</v>
      </c>
      <c r="H1866" s="114">
        <v>64800</v>
      </c>
      <c r="I1866" s="114">
        <v>68420</v>
      </c>
      <c r="J1866" s="113"/>
    </row>
    <row r="1867" spans="4:10" x14ac:dyDescent="0.3">
      <c r="F1867">
        <v>2400</v>
      </c>
      <c r="G1867">
        <v>660</v>
      </c>
      <c r="H1867" s="114">
        <v>76040</v>
      </c>
      <c r="I1867" s="114">
        <v>80500</v>
      </c>
      <c r="J1867" s="113"/>
    </row>
    <row r="1868" spans="4:10" x14ac:dyDescent="0.3">
      <c r="E1868">
        <v>1800</v>
      </c>
      <c r="F1868">
        <v>2200</v>
      </c>
      <c r="G1868">
        <v>660</v>
      </c>
      <c r="H1868" s="114">
        <v>68330</v>
      </c>
      <c r="I1868" s="114">
        <v>72380</v>
      </c>
      <c r="J1868" s="113"/>
    </row>
    <row r="1869" spans="4:10" x14ac:dyDescent="0.3">
      <c r="F1869">
        <v>2400</v>
      </c>
      <c r="G1869">
        <v>660</v>
      </c>
      <c r="H1869" s="114">
        <v>79570</v>
      </c>
      <c r="I1869" s="114">
        <v>84460</v>
      </c>
      <c r="J1869" s="113"/>
    </row>
    <row r="1870" spans="4:10" x14ac:dyDescent="0.3">
      <c r="E1870">
        <v>2000</v>
      </c>
      <c r="F1870">
        <v>2200</v>
      </c>
      <c r="G1870">
        <v>660</v>
      </c>
      <c r="H1870" s="114">
        <v>71900</v>
      </c>
      <c r="I1870" s="114">
        <v>76360</v>
      </c>
      <c r="J1870" s="113"/>
    </row>
    <row r="1871" spans="4:10" x14ac:dyDescent="0.3">
      <c r="F1871">
        <v>2400</v>
      </c>
      <c r="G1871">
        <v>660</v>
      </c>
      <c r="H1871" s="114">
        <v>83120</v>
      </c>
      <c r="I1871" s="114">
        <v>88440</v>
      </c>
      <c r="J1871" s="113"/>
    </row>
    <row r="1872" spans="4:10" x14ac:dyDescent="0.3">
      <c r="D1872" t="s">
        <v>351</v>
      </c>
      <c r="E1872">
        <v>1600</v>
      </c>
      <c r="F1872">
        <v>2200</v>
      </c>
      <c r="G1872">
        <v>660</v>
      </c>
      <c r="H1872" s="114">
        <v>64800</v>
      </c>
      <c r="I1872" s="114">
        <v>68420</v>
      </c>
      <c r="J1872" s="113"/>
    </row>
    <row r="1873" spans="4:10" x14ac:dyDescent="0.3">
      <c r="F1873">
        <v>2400</v>
      </c>
      <c r="G1873">
        <v>660</v>
      </c>
      <c r="H1873" s="114">
        <v>76040</v>
      </c>
      <c r="I1873" s="114">
        <v>80500</v>
      </c>
      <c r="J1873" s="113"/>
    </row>
    <row r="1874" spans="4:10" x14ac:dyDescent="0.3">
      <c r="E1874">
        <v>1800</v>
      </c>
      <c r="F1874">
        <v>2200</v>
      </c>
      <c r="G1874">
        <v>660</v>
      </c>
      <c r="H1874" s="114">
        <v>68330</v>
      </c>
      <c r="I1874" s="114">
        <v>72380</v>
      </c>
      <c r="J1874" s="113"/>
    </row>
    <row r="1875" spans="4:10" x14ac:dyDescent="0.3">
      <c r="F1875">
        <v>2400</v>
      </c>
      <c r="G1875">
        <v>660</v>
      </c>
      <c r="H1875" s="114">
        <v>79570</v>
      </c>
      <c r="I1875" s="114">
        <v>84460</v>
      </c>
      <c r="J1875" s="113"/>
    </row>
    <row r="1876" spans="4:10" x14ac:dyDescent="0.3">
      <c r="E1876">
        <v>2000</v>
      </c>
      <c r="F1876">
        <v>2200</v>
      </c>
      <c r="G1876">
        <v>660</v>
      </c>
      <c r="H1876" s="114">
        <v>71900</v>
      </c>
      <c r="I1876" s="114">
        <v>76360</v>
      </c>
      <c r="J1876" s="113"/>
    </row>
    <row r="1877" spans="4:10" x14ac:dyDescent="0.3">
      <c r="F1877">
        <v>2400</v>
      </c>
      <c r="G1877">
        <v>660</v>
      </c>
      <c r="H1877" s="114">
        <v>83120</v>
      </c>
      <c r="I1877" s="114">
        <v>88440</v>
      </c>
      <c r="J1877" s="113"/>
    </row>
    <row r="1878" spans="4:10" x14ac:dyDescent="0.3">
      <c r="D1878" t="s">
        <v>352</v>
      </c>
      <c r="E1878">
        <v>1600</v>
      </c>
      <c r="F1878">
        <v>2200</v>
      </c>
      <c r="G1878">
        <v>660</v>
      </c>
      <c r="H1878" s="114">
        <v>64800</v>
      </c>
      <c r="I1878" s="114">
        <v>68420</v>
      </c>
      <c r="J1878" s="113"/>
    </row>
    <row r="1879" spans="4:10" x14ac:dyDescent="0.3">
      <c r="F1879">
        <v>2400</v>
      </c>
      <c r="G1879">
        <v>660</v>
      </c>
      <c r="H1879" s="114">
        <v>76040</v>
      </c>
      <c r="I1879" s="114">
        <v>80500</v>
      </c>
      <c r="J1879" s="113"/>
    </row>
    <row r="1880" spans="4:10" x14ac:dyDescent="0.3">
      <c r="E1880">
        <v>1800</v>
      </c>
      <c r="F1880">
        <v>2200</v>
      </c>
      <c r="G1880">
        <v>660</v>
      </c>
      <c r="H1880" s="114">
        <v>68330</v>
      </c>
      <c r="I1880" s="114">
        <v>72380</v>
      </c>
      <c r="J1880" s="113"/>
    </row>
    <row r="1881" spans="4:10" x14ac:dyDescent="0.3">
      <c r="F1881">
        <v>2400</v>
      </c>
      <c r="G1881">
        <v>660</v>
      </c>
      <c r="H1881" s="114">
        <v>79570</v>
      </c>
      <c r="I1881" s="114">
        <v>84460</v>
      </c>
      <c r="J1881" s="113"/>
    </row>
    <row r="1882" spans="4:10" x14ac:dyDescent="0.3">
      <c r="E1882">
        <v>2000</v>
      </c>
      <c r="F1882">
        <v>2200</v>
      </c>
      <c r="G1882">
        <v>660</v>
      </c>
      <c r="H1882" s="114">
        <v>71900</v>
      </c>
      <c r="I1882" s="114">
        <v>76360</v>
      </c>
      <c r="J1882" s="113"/>
    </row>
    <row r="1883" spans="4:10" x14ac:dyDescent="0.3">
      <c r="F1883">
        <v>2400</v>
      </c>
      <c r="G1883">
        <v>660</v>
      </c>
      <c r="H1883" s="114">
        <v>83120</v>
      </c>
      <c r="I1883" s="114">
        <v>88440</v>
      </c>
      <c r="J1883" s="113"/>
    </row>
    <row r="1884" spans="4:10" x14ac:dyDescent="0.3">
      <c r="D1884" t="s">
        <v>353</v>
      </c>
      <c r="E1884">
        <v>1600</v>
      </c>
      <c r="F1884">
        <v>2200</v>
      </c>
      <c r="G1884">
        <v>660</v>
      </c>
      <c r="H1884" s="114">
        <v>56200</v>
      </c>
      <c r="I1884" s="114">
        <v>59820</v>
      </c>
      <c r="J1884" s="113"/>
    </row>
    <row r="1885" spans="4:10" x14ac:dyDescent="0.3">
      <c r="F1885">
        <v>2400</v>
      </c>
      <c r="G1885">
        <v>660</v>
      </c>
      <c r="H1885" s="114">
        <v>65060</v>
      </c>
      <c r="I1885" s="114">
        <v>69520</v>
      </c>
      <c r="J1885" s="113"/>
    </row>
    <row r="1886" spans="4:10" x14ac:dyDescent="0.3">
      <c r="E1886">
        <v>1800</v>
      </c>
      <c r="F1886">
        <v>2200</v>
      </c>
      <c r="G1886">
        <v>660</v>
      </c>
      <c r="H1886" s="114">
        <v>59730</v>
      </c>
      <c r="I1886" s="114">
        <v>63780</v>
      </c>
      <c r="J1886" s="113"/>
    </row>
    <row r="1887" spans="4:10" x14ac:dyDescent="0.3">
      <c r="F1887">
        <v>2400</v>
      </c>
      <c r="G1887">
        <v>660</v>
      </c>
      <c r="H1887" s="114">
        <v>68590</v>
      </c>
      <c r="I1887" s="114">
        <v>73480</v>
      </c>
      <c r="J1887" s="113"/>
    </row>
    <row r="1888" spans="4:10" x14ac:dyDescent="0.3">
      <c r="E1888">
        <v>2000</v>
      </c>
      <c r="F1888">
        <v>2200</v>
      </c>
      <c r="G1888">
        <v>660</v>
      </c>
      <c r="H1888" s="114">
        <v>63300</v>
      </c>
      <c r="I1888" s="114">
        <v>67760</v>
      </c>
      <c r="J1888" s="113"/>
    </row>
    <row r="1889" spans="4:10" x14ac:dyDescent="0.3">
      <c r="F1889">
        <v>2400</v>
      </c>
      <c r="G1889">
        <v>660</v>
      </c>
      <c r="H1889" s="114">
        <v>72140</v>
      </c>
      <c r="I1889" s="114">
        <v>77460</v>
      </c>
      <c r="J1889" s="113"/>
    </row>
    <row r="1890" spans="4:10" x14ac:dyDescent="0.3">
      <c r="D1890" t="s">
        <v>354</v>
      </c>
      <c r="E1890">
        <v>1600</v>
      </c>
      <c r="F1890">
        <v>2200</v>
      </c>
      <c r="G1890">
        <v>660</v>
      </c>
      <c r="H1890" s="114">
        <v>64800</v>
      </c>
      <c r="I1890" s="114">
        <v>68420</v>
      </c>
      <c r="J1890" s="113"/>
    </row>
    <row r="1891" spans="4:10" x14ac:dyDescent="0.3">
      <c r="F1891">
        <v>2400</v>
      </c>
      <c r="G1891">
        <v>660</v>
      </c>
      <c r="H1891" s="114">
        <v>76040</v>
      </c>
      <c r="I1891" s="114">
        <v>80500</v>
      </c>
      <c r="J1891" s="113"/>
    </row>
    <row r="1892" spans="4:10" x14ac:dyDescent="0.3">
      <c r="E1892">
        <v>1800</v>
      </c>
      <c r="F1892">
        <v>2200</v>
      </c>
      <c r="G1892">
        <v>660</v>
      </c>
      <c r="H1892" s="114">
        <v>68330</v>
      </c>
      <c r="I1892" s="114">
        <v>72380</v>
      </c>
      <c r="J1892" s="113"/>
    </row>
    <row r="1893" spans="4:10" x14ac:dyDescent="0.3">
      <c r="F1893">
        <v>2400</v>
      </c>
      <c r="G1893">
        <v>660</v>
      </c>
      <c r="H1893" s="114">
        <v>79570</v>
      </c>
      <c r="I1893" s="114">
        <v>84460</v>
      </c>
      <c r="J1893" s="113"/>
    </row>
    <row r="1894" spans="4:10" x14ac:dyDescent="0.3">
      <c r="E1894">
        <v>2000</v>
      </c>
      <c r="F1894">
        <v>2200</v>
      </c>
      <c r="G1894">
        <v>660</v>
      </c>
      <c r="H1894" s="114">
        <v>71900</v>
      </c>
      <c r="I1894" s="114">
        <v>76360</v>
      </c>
      <c r="J1894" s="113"/>
    </row>
    <row r="1895" spans="4:10" x14ac:dyDescent="0.3">
      <c r="F1895">
        <v>2400</v>
      </c>
      <c r="G1895">
        <v>660</v>
      </c>
      <c r="H1895" s="114">
        <v>83120</v>
      </c>
      <c r="I1895" s="114">
        <v>88440</v>
      </c>
      <c r="J1895" s="113"/>
    </row>
    <row r="1896" spans="4:10" x14ac:dyDescent="0.3">
      <c r="D1896" t="s">
        <v>355</v>
      </c>
      <c r="E1896">
        <v>1600</v>
      </c>
      <c r="F1896">
        <v>2200</v>
      </c>
      <c r="G1896">
        <v>660</v>
      </c>
      <c r="H1896" s="114">
        <v>73400</v>
      </c>
      <c r="I1896" s="114">
        <v>77020</v>
      </c>
      <c r="J1896" s="113"/>
    </row>
    <row r="1897" spans="4:10" x14ac:dyDescent="0.3">
      <c r="F1897">
        <v>2400</v>
      </c>
      <c r="G1897">
        <v>660</v>
      </c>
      <c r="H1897" s="114">
        <v>87020</v>
      </c>
      <c r="I1897" s="114">
        <v>91480</v>
      </c>
      <c r="J1897" s="113"/>
    </row>
    <row r="1898" spans="4:10" x14ac:dyDescent="0.3">
      <c r="E1898">
        <v>1800</v>
      </c>
      <c r="F1898">
        <v>2200</v>
      </c>
      <c r="G1898">
        <v>660</v>
      </c>
      <c r="H1898" s="114">
        <v>76930</v>
      </c>
      <c r="I1898" s="114">
        <v>80980</v>
      </c>
      <c r="J1898" s="113"/>
    </row>
    <row r="1899" spans="4:10" x14ac:dyDescent="0.3">
      <c r="F1899">
        <v>2400</v>
      </c>
      <c r="G1899">
        <v>660</v>
      </c>
      <c r="H1899" s="114">
        <v>90550</v>
      </c>
      <c r="I1899" s="114">
        <v>95440</v>
      </c>
      <c r="J1899" s="113"/>
    </row>
    <row r="1900" spans="4:10" x14ac:dyDescent="0.3">
      <c r="E1900">
        <v>2000</v>
      </c>
      <c r="F1900">
        <v>2200</v>
      </c>
      <c r="G1900">
        <v>660</v>
      </c>
      <c r="H1900" s="114">
        <v>80500</v>
      </c>
      <c r="I1900" s="114">
        <v>84960</v>
      </c>
      <c r="J1900" s="113"/>
    </row>
    <row r="1901" spans="4:10" x14ac:dyDescent="0.3">
      <c r="F1901">
        <v>2400</v>
      </c>
      <c r="G1901">
        <v>660</v>
      </c>
      <c r="H1901" s="114">
        <v>94100</v>
      </c>
      <c r="I1901" s="114">
        <v>99420</v>
      </c>
      <c r="J1901" s="113"/>
    </row>
    <row r="1902" spans="4:10" x14ac:dyDescent="0.3">
      <c r="D1902" t="s">
        <v>356</v>
      </c>
      <c r="E1902">
        <v>1600</v>
      </c>
      <c r="F1902">
        <v>2200</v>
      </c>
      <c r="G1902">
        <v>660</v>
      </c>
      <c r="H1902" s="114">
        <v>73400</v>
      </c>
      <c r="I1902" s="114">
        <v>77020</v>
      </c>
      <c r="J1902" s="113"/>
    </row>
    <row r="1903" spans="4:10" x14ac:dyDescent="0.3">
      <c r="F1903">
        <v>2400</v>
      </c>
      <c r="G1903">
        <v>660</v>
      </c>
      <c r="H1903" s="114">
        <v>87020</v>
      </c>
      <c r="I1903" s="114">
        <v>91480</v>
      </c>
      <c r="J1903" s="113"/>
    </row>
    <row r="1904" spans="4:10" x14ac:dyDescent="0.3">
      <c r="E1904">
        <v>1800</v>
      </c>
      <c r="F1904">
        <v>2200</v>
      </c>
      <c r="G1904">
        <v>660</v>
      </c>
      <c r="H1904" s="114">
        <v>76930</v>
      </c>
      <c r="I1904" s="114">
        <v>80980</v>
      </c>
      <c r="J1904" s="113"/>
    </row>
    <row r="1905" spans="4:10" x14ac:dyDescent="0.3">
      <c r="F1905">
        <v>2400</v>
      </c>
      <c r="G1905">
        <v>660</v>
      </c>
      <c r="H1905" s="114">
        <v>90550</v>
      </c>
      <c r="I1905" s="114">
        <v>95440</v>
      </c>
      <c r="J1905" s="113"/>
    </row>
    <row r="1906" spans="4:10" x14ac:dyDescent="0.3">
      <c r="E1906">
        <v>2000</v>
      </c>
      <c r="F1906">
        <v>2200</v>
      </c>
      <c r="G1906">
        <v>660</v>
      </c>
      <c r="H1906" s="114">
        <v>80500</v>
      </c>
      <c r="I1906" s="114">
        <v>84960</v>
      </c>
      <c r="J1906" s="113"/>
    </row>
    <row r="1907" spans="4:10" x14ac:dyDescent="0.3">
      <c r="F1907">
        <v>2400</v>
      </c>
      <c r="G1907">
        <v>660</v>
      </c>
      <c r="H1907" s="114">
        <v>94100</v>
      </c>
      <c r="I1907" s="114">
        <v>99420</v>
      </c>
      <c r="J1907" s="113"/>
    </row>
    <row r="1908" spans="4:10" x14ac:dyDescent="0.3">
      <c r="D1908" t="s">
        <v>357</v>
      </c>
      <c r="E1908">
        <v>1600</v>
      </c>
      <c r="F1908">
        <v>2200</v>
      </c>
      <c r="G1908">
        <v>660</v>
      </c>
      <c r="H1908" s="114">
        <v>62460</v>
      </c>
      <c r="I1908" s="114">
        <v>66080</v>
      </c>
      <c r="J1908" s="113"/>
    </row>
    <row r="1909" spans="4:10" x14ac:dyDescent="0.3">
      <c r="F1909">
        <v>2400</v>
      </c>
      <c r="G1909">
        <v>660</v>
      </c>
      <c r="H1909" s="114">
        <v>73420</v>
      </c>
      <c r="I1909" s="114">
        <v>77880</v>
      </c>
      <c r="J1909" s="113"/>
    </row>
    <row r="1910" spans="4:10" x14ac:dyDescent="0.3">
      <c r="E1910">
        <v>1800</v>
      </c>
      <c r="F1910">
        <v>2200</v>
      </c>
      <c r="G1910">
        <v>660</v>
      </c>
      <c r="H1910" s="114">
        <v>65990</v>
      </c>
      <c r="I1910" s="114">
        <v>70040</v>
      </c>
      <c r="J1910" s="113"/>
    </row>
    <row r="1911" spans="4:10" x14ac:dyDescent="0.3">
      <c r="F1911">
        <v>2400</v>
      </c>
      <c r="G1911">
        <v>660</v>
      </c>
      <c r="H1911" s="114">
        <v>76950</v>
      </c>
      <c r="I1911" s="114">
        <v>81840</v>
      </c>
      <c r="J1911" s="113"/>
    </row>
    <row r="1912" spans="4:10" x14ac:dyDescent="0.3">
      <c r="E1912">
        <v>2000</v>
      </c>
      <c r="F1912">
        <v>2200</v>
      </c>
      <c r="G1912">
        <v>660</v>
      </c>
      <c r="H1912" s="114">
        <v>69560</v>
      </c>
      <c r="I1912" s="114">
        <v>74020</v>
      </c>
      <c r="J1912" s="113"/>
    </row>
    <row r="1913" spans="4:10" x14ac:dyDescent="0.3">
      <c r="F1913">
        <v>2400</v>
      </c>
      <c r="G1913">
        <v>660</v>
      </c>
      <c r="H1913" s="114">
        <v>80500</v>
      </c>
      <c r="I1913" s="114">
        <v>85820</v>
      </c>
      <c r="J1913" s="113"/>
    </row>
    <row r="1914" spans="4:10" x14ac:dyDescent="0.3">
      <c r="D1914" t="s">
        <v>358</v>
      </c>
      <c r="E1914">
        <v>1600</v>
      </c>
      <c r="F1914">
        <v>2200</v>
      </c>
      <c r="G1914">
        <v>660</v>
      </c>
      <c r="H1914" s="114">
        <v>53860</v>
      </c>
      <c r="I1914" s="114">
        <v>57480</v>
      </c>
      <c r="J1914" s="113"/>
    </row>
    <row r="1915" spans="4:10" x14ac:dyDescent="0.3">
      <c r="F1915">
        <v>2400</v>
      </c>
      <c r="G1915">
        <v>660</v>
      </c>
      <c r="H1915" s="114">
        <v>62440</v>
      </c>
      <c r="I1915" s="114">
        <v>66900</v>
      </c>
      <c r="J1915" s="113"/>
    </row>
    <row r="1916" spans="4:10" x14ac:dyDescent="0.3">
      <c r="E1916">
        <v>1800</v>
      </c>
      <c r="F1916">
        <v>2200</v>
      </c>
      <c r="G1916">
        <v>660</v>
      </c>
      <c r="H1916" s="114">
        <v>57390</v>
      </c>
      <c r="I1916" s="114">
        <v>61440</v>
      </c>
      <c r="J1916" s="113"/>
    </row>
    <row r="1917" spans="4:10" x14ac:dyDescent="0.3">
      <c r="F1917">
        <v>2400</v>
      </c>
      <c r="G1917">
        <v>660</v>
      </c>
      <c r="H1917" s="114">
        <v>65970</v>
      </c>
      <c r="I1917" s="114">
        <v>70860</v>
      </c>
      <c r="J1917" s="113"/>
    </row>
    <row r="1918" spans="4:10" x14ac:dyDescent="0.3">
      <c r="E1918">
        <v>2000</v>
      </c>
      <c r="F1918">
        <v>2200</v>
      </c>
      <c r="G1918">
        <v>660</v>
      </c>
      <c r="H1918" s="114">
        <v>60960</v>
      </c>
      <c r="I1918" s="114">
        <v>65420</v>
      </c>
      <c r="J1918" s="113"/>
    </row>
    <row r="1919" spans="4:10" x14ac:dyDescent="0.3">
      <c r="F1919">
        <v>2400</v>
      </c>
      <c r="G1919">
        <v>660</v>
      </c>
      <c r="H1919" s="114">
        <v>69520</v>
      </c>
      <c r="I1919" s="114">
        <v>74840</v>
      </c>
      <c r="J1919" s="113"/>
    </row>
    <row r="1920" spans="4:10" x14ac:dyDescent="0.3">
      <c r="D1920" t="s">
        <v>359</v>
      </c>
      <c r="E1920">
        <v>1600</v>
      </c>
      <c r="F1920">
        <v>2200</v>
      </c>
      <c r="G1920">
        <v>660</v>
      </c>
      <c r="H1920" s="114">
        <v>62460</v>
      </c>
      <c r="I1920" s="114">
        <v>66080</v>
      </c>
      <c r="J1920" s="113"/>
    </row>
    <row r="1921" spans="4:10" x14ac:dyDescent="0.3">
      <c r="F1921">
        <v>2400</v>
      </c>
      <c r="G1921">
        <v>660</v>
      </c>
      <c r="H1921" s="114">
        <v>73420</v>
      </c>
      <c r="I1921" s="114">
        <v>77880</v>
      </c>
      <c r="J1921" s="113"/>
    </row>
    <row r="1922" spans="4:10" x14ac:dyDescent="0.3">
      <c r="E1922">
        <v>1800</v>
      </c>
      <c r="F1922">
        <v>2200</v>
      </c>
      <c r="G1922">
        <v>660</v>
      </c>
      <c r="H1922" s="114">
        <v>65990</v>
      </c>
      <c r="I1922" s="114">
        <v>70040</v>
      </c>
      <c r="J1922" s="113"/>
    </row>
    <row r="1923" spans="4:10" x14ac:dyDescent="0.3">
      <c r="F1923">
        <v>2400</v>
      </c>
      <c r="G1923">
        <v>660</v>
      </c>
      <c r="H1923" s="114">
        <v>76950</v>
      </c>
      <c r="I1923" s="114">
        <v>81840</v>
      </c>
      <c r="J1923" s="113"/>
    </row>
    <row r="1924" spans="4:10" x14ac:dyDescent="0.3">
      <c r="E1924">
        <v>2000</v>
      </c>
      <c r="F1924">
        <v>2200</v>
      </c>
      <c r="G1924">
        <v>660</v>
      </c>
      <c r="H1924" s="114">
        <v>69560</v>
      </c>
      <c r="I1924" s="114">
        <v>74020</v>
      </c>
      <c r="J1924" s="113"/>
    </row>
    <row r="1925" spans="4:10" x14ac:dyDescent="0.3">
      <c r="F1925">
        <v>2400</v>
      </c>
      <c r="G1925">
        <v>660</v>
      </c>
      <c r="H1925" s="114">
        <v>80500</v>
      </c>
      <c r="I1925" s="114">
        <v>85820</v>
      </c>
      <c r="J1925" s="113"/>
    </row>
    <row r="1926" spans="4:10" x14ac:dyDescent="0.3">
      <c r="D1926" t="s">
        <v>360</v>
      </c>
      <c r="E1926">
        <v>1600</v>
      </c>
      <c r="F1926">
        <v>2200</v>
      </c>
      <c r="G1926">
        <v>660</v>
      </c>
      <c r="H1926" s="114">
        <v>62460</v>
      </c>
      <c r="I1926" s="114">
        <v>66080</v>
      </c>
      <c r="J1926" s="113"/>
    </row>
    <row r="1927" spans="4:10" x14ac:dyDescent="0.3">
      <c r="F1927">
        <v>2400</v>
      </c>
      <c r="G1927">
        <v>660</v>
      </c>
      <c r="H1927" s="114">
        <v>73420</v>
      </c>
      <c r="I1927" s="114">
        <v>77880</v>
      </c>
      <c r="J1927" s="113"/>
    </row>
    <row r="1928" spans="4:10" x14ac:dyDescent="0.3">
      <c r="E1928">
        <v>1800</v>
      </c>
      <c r="F1928">
        <v>2200</v>
      </c>
      <c r="G1928">
        <v>660</v>
      </c>
      <c r="H1928" s="114">
        <v>65990</v>
      </c>
      <c r="I1928" s="114">
        <v>70040</v>
      </c>
      <c r="J1928" s="113"/>
    </row>
    <row r="1929" spans="4:10" x14ac:dyDescent="0.3">
      <c r="F1929">
        <v>2400</v>
      </c>
      <c r="G1929">
        <v>660</v>
      </c>
      <c r="H1929" s="114">
        <v>76950</v>
      </c>
      <c r="I1929" s="114">
        <v>81840</v>
      </c>
      <c r="J1929" s="113"/>
    </row>
    <row r="1930" spans="4:10" x14ac:dyDescent="0.3">
      <c r="E1930">
        <v>2000</v>
      </c>
      <c r="F1930">
        <v>2200</v>
      </c>
      <c r="G1930">
        <v>660</v>
      </c>
      <c r="H1930" s="114">
        <v>69560</v>
      </c>
      <c r="I1930" s="114">
        <v>74020</v>
      </c>
      <c r="J1930" s="113"/>
    </row>
    <row r="1931" spans="4:10" x14ac:dyDescent="0.3">
      <c r="F1931">
        <v>2400</v>
      </c>
      <c r="G1931">
        <v>660</v>
      </c>
      <c r="H1931" s="114">
        <v>80500</v>
      </c>
      <c r="I1931" s="114">
        <v>85820</v>
      </c>
      <c r="J1931" s="113"/>
    </row>
    <row r="1932" spans="4:10" x14ac:dyDescent="0.3">
      <c r="D1932" t="s">
        <v>361</v>
      </c>
      <c r="E1932">
        <v>1600</v>
      </c>
      <c r="F1932">
        <v>2200</v>
      </c>
      <c r="G1932">
        <v>660</v>
      </c>
      <c r="H1932" s="114">
        <v>62460</v>
      </c>
      <c r="I1932" s="114">
        <v>66080</v>
      </c>
      <c r="J1932" s="113"/>
    </row>
    <row r="1933" spans="4:10" x14ac:dyDescent="0.3">
      <c r="F1933">
        <v>2400</v>
      </c>
      <c r="G1933">
        <v>660</v>
      </c>
      <c r="H1933" s="114">
        <v>73420</v>
      </c>
      <c r="I1933" s="114">
        <v>77880</v>
      </c>
      <c r="J1933" s="113"/>
    </row>
    <row r="1934" spans="4:10" x14ac:dyDescent="0.3">
      <c r="E1934">
        <v>1800</v>
      </c>
      <c r="F1934">
        <v>2200</v>
      </c>
      <c r="G1934">
        <v>660</v>
      </c>
      <c r="H1934" s="114">
        <v>65990</v>
      </c>
      <c r="I1934" s="114">
        <v>70040</v>
      </c>
      <c r="J1934" s="113"/>
    </row>
    <row r="1935" spans="4:10" x14ac:dyDescent="0.3">
      <c r="F1935">
        <v>2400</v>
      </c>
      <c r="G1935">
        <v>660</v>
      </c>
      <c r="H1935" s="114">
        <v>76950</v>
      </c>
      <c r="I1935" s="114">
        <v>81840</v>
      </c>
      <c r="J1935" s="113"/>
    </row>
    <row r="1936" spans="4:10" x14ac:dyDescent="0.3">
      <c r="E1936">
        <v>2000</v>
      </c>
      <c r="F1936">
        <v>2200</v>
      </c>
      <c r="G1936">
        <v>660</v>
      </c>
      <c r="H1936" s="114">
        <v>69560</v>
      </c>
      <c r="I1936" s="114">
        <v>74020</v>
      </c>
      <c r="J1936" s="113"/>
    </row>
    <row r="1937" spans="4:10" x14ac:dyDescent="0.3">
      <c r="F1937">
        <v>2400</v>
      </c>
      <c r="G1937">
        <v>660</v>
      </c>
      <c r="H1937" s="114">
        <v>80500</v>
      </c>
      <c r="I1937" s="114">
        <v>85820</v>
      </c>
      <c r="J1937" s="113"/>
    </row>
    <row r="1938" spans="4:10" x14ac:dyDescent="0.3">
      <c r="D1938" t="s">
        <v>362</v>
      </c>
      <c r="E1938">
        <v>1600</v>
      </c>
      <c r="F1938">
        <v>2200</v>
      </c>
      <c r="G1938">
        <v>660</v>
      </c>
      <c r="H1938" s="114">
        <v>62460</v>
      </c>
      <c r="I1938" s="114">
        <v>66080</v>
      </c>
      <c r="J1938" s="113"/>
    </row>
    <row r="1939" spans="4:10" x14ac:dyDescent="0.3">
      <c r="F1939">
        <v>2400</v>
      </c>
      <c r="G1939">
        <v>660</v>
      </c>
      <c r="H1939" s="114">
        <v>73420</v>
      </c>
      <c r="I1939" s="114">
        <v>77880</v>
      </c>
      <c r="J1939" s="113"/>
    </row>
    <row r="1940" spans="4:10" x14ac:dyDescent="0.3">
      <c r="E1940">
        <v>1800</v>
      </c>
      <c r="F1940">
        <v>2200</v>
      </c>
      <c r="G1940">
        <v>660</v>
      </c>
      <c r="H1940" s="114">
        <v>65990</v>
      </c>
      <c r="I1940" s="114">
        <v>70040</v>
      </c>
      <c r="J1940" s="113"/>
    </row>
    <row r="1941" spans="4:10" x14ac:dyDescent="0.3">
      <c r="F1941">
        <v>2400</v>
      </c>
      <c r="G1941">
        <v>660</v>
      </c>
      <c r="H1941" s="114">
        <v>76950</v>
      </c>
      <c r="I1941" s="114">
        <v>81840</v>
      </c>
      <c r="J1941" s="113"/>
    </row>
    <row r="1942" spans="4:10" x14ac:dyDescent="0.3">
      <c r="E1942">
        <v>2000</v>
      </c>
      <c r="F1942">
        <v>2200</v>
      </c>
      <c r="G1942">
        <v>660</v>
      </c>
      <c r="H1942" s="114">
        <v>69560</v>
      </c>
      <c r="I1942" s="114">
        <v>74020</v>
      </c>
      <c r="J1942" s="113"/>
    </row>
    <row r="1943" spans="4:10" x14ac:dyDescent="0.3">
      <c r="F1943">
        <v>2400</v>
      </c>
      <c r="G1943">
        <v>660</v>
      </c>
      <c r="H1943" s="114">
        <v>80500</v>
      </c>
      <c r="I1943" s="114">
        <v>85820</v>
      </c>
      <c r="J1943" s="113"/>
    </row>
    <row r="1944" spans="4:10" x14ac:dyDescent="0.3">
      <c r="D1944" t="s">
        <v>363</v>
      </c>
      <c r="E1944">
        <v>1600</v>
      </c>
      <c r="F1944">
        <v>2200</v>
      </c>
      <c r="G1944">
        <v>660</v>
      </c>
      <c r="H1944" s="114">
        <v>53860</v>
      </c>
      <c r="I1944" s="114">
        <v>57480</v>
      </c>
      <c r="J1944" s="113"/>
    </row>
    <row r="1945" spans="4:10" x14ac:dyDescent="0.3">
      <c r="F1945">
        <v>2400</v>
      </c>
      <c r="G1945">
        <v>660</v>
      </c>
      <c r="H1945" s="114">
        <v>62440</v>
      </c>
      <c r="I1945" s="114">
        <v>66900</v>
      </c>
      <c r="J1945" s="113"/>
    </row>
    <row r="1946" spans="4:10" x14ac:dyDescent="0.3">
      <c r="E1946">
        <v>1800</v>
      </c>
      <c r="F1946">
        <v>2200</v>
      </c>
      <c r="G1946">
        <v>660</v>
      </c>
      <c r="H1946" s="114">
        <v>57390</v>
      </c>
      <c r="I1946" s="114">
        <v>61440</v>
      </c>
      <c r="J1946" s="113"/>
    </row>
    <row r="1947" spans="4:10" x14ac:dyDescent="0.3">
      <c r="F1947">
        <v>2400</v>
      </c>
      <c r="G1947">
        <v>660</v>
      </c>
      <c r="H1947" s="114">
        <v>65970</v>
      </c>
      <c r="I1947" s="114">
        <v>70860</v>
      </c>
      <c r="J1947" s="113"/>
    </row>
    <row r="1948" spans="4:10" x14ac:dyDescent="0.3">
      <c r="E1948">
        <v>2000</v>
      </c>
      <c r="F1948">
        <v>2200</v>
      </c>
      <c r="G1948">
        <v>660</v>
      </c>
      <c r="H1948" s="114">
        <v>60960</v>
      </c>
      <c r="I1948" s="114">
        <v>65420</v>
      </c>
      <c r="J1948" s="113"/>
    </row>
    <row r="1949" spans="4:10" x14ac:dyDescent="0.3">
      <c r="F1949">
        <v>2400</v>
      </c>
      <c r="G1949">
        <v>660</v>
      </c>
      <c r="H1949" s="114">
        <v>69520</v>
      </c>
      <c r="I1949" s="114">
        <v>74840</v>
      </c>
      <c r="J1949" s="113"/>
    </row>
    <row r="1950" spans="4:10" x14ac:dyDescent="0.3">
      <c r="D1950" t="s">
        <v>364</v>
      </c>
      <c r="E1950">
        <v>1600</v>
      </c>
      <c r="F1950">
        <v>2200</v>
      </c>
      <c r="G1950">
        <v>660</v>
      </c>
      <c r="H1950" s="114">
        <v>64800</v>
      </c>
      <c r="I1950" s="114">
        <v>68420</v>
      </c>
      <c r="J1950" s="113"/>
    </row>
    <row r="1951" spans="4:10" x14ac:dyDescent="0.3">
      <c r="F1951">
        <v>2400</v>
      </c>
      <c r="G1951">
        <v>660</v>
      </c>
      <c r="H1951" s="114">
        <v>76040</v>
      </c>
      <c r="I1951" s="114">
        <v>80500</v>
      </c>
      <c r="J1951" s="113"/>
    </row>
    <row r="1952" spans="4:10" x14ac:dyDescent="0.3">
      <c r="E1952">
        <v>1800</v>
      </c>
      <c r="F1952">
        <v>2200</v>
      </c>
      <c r="G1952">
        <v>660</v>
      </c>
      <c r="H1952" s="114">
        <v>68330</v>
      </c>
      <c r="I1952" s="114">
        <v>72380</v>
      </c>
      <c r="J1952" s="113"/>
    </row>
    <row r="1953" spans="4:10" x14ac:dyDescent="0.3">
      <c r="F1953">
        <v>2400</v>
      </c>
      <c r="G1953">
        <v>660</v>
      </c>
      <c r="H1953" s="114">
        <v>79570</v>
      </c>
      <c r="I1953" s="114">
        <v>84460</v>
      </c>
      <c r="J1953" s="113"/>
    </row>
    <row r="1954" spans="4:10" x14ac:dyDescent="0.3">
      <c r="E1954">
        <v>2000</v>
      </c>
      <c r="F1954">
        <v>2200</v>
      </c>
      <c r="G1954">
        <v>660</v>
      </c>
      <c r="H1954" s="114">
        <v>71900</v>
      </c>
      <c r="I1954" s="114">
        <v>76360</v>
      </c>
      <c r="J1954" s="113"/>
    </row>
    <row r="1955" spans="4:10" x14ac:dyDescent="0.3">
      <c r="F1955">
        <v>2400</v>
      </c>
      <c r="G1955">
        <v>660</v>
      </c>
      <c r="H1955" s="114">
        <v>83120</v>
      </c>
      <c r="I1955" s="114">
        <v>88440</v>
      </c>
      <c r="J1955" s="113"/>
    </row>
    <row r="1956" spans="4:10" x14ac:dyDescent="0.3">
      <c r="D1956" t="s">
        <v>365</v>
      </c>
      <c r="E1956">
        <v>1600</v>
      </c>
      <c r="F1956">
        <v>2200</v>
      </c>
      <c r="G1956">
        <v>660</v>
      </c>
      <c r="H1956" s="114">
        <v>57140</v>
      </c>
      <c r="I1956" s="114">
        <v>61400</v>
      </c>
      <c r="J1956" s="113"/>
    </row>
    <row r="1957" spans="4:10" x14ac:dyDescent="0.3">
      <c r="F1957">
        <v>2400</v>
      </c>
      <c r="G1957">
        <v>660</v>
      </c>
      <c r="H1957" s="114">
        <v>67500</v>
      </c>
      <c r="I1957" s="114">
        <v>72600</v>
      </c>
      <c r="J1957" s="113"/>
    </row>
    <row r="1958" spans="4:10" x14ac:dyDescent="0.3">
      <c r="E1958">
        <v>1800</v>
      </c>
      <c r="F1958">
        <v>2200</v>
      </c>
      <c r="G1958">
        <v>660</v>
      </c>
      <c r="H1958" s="114">
        <v>60670</v>
      </c>
      <c r="I1958" s="114">
        <v>65360</v>
      </c>
      <c r="J1958" s="113"/>
    </row>
    <row r="1959" spans="4:10" x14ac:dyDescent="0.3">
      <c r="F1959">
        <v>2400</v>
      </c>
      <c r="G1959">
        <v>660</v>
      </c>
      <c r="H1959" s="114">
        <v>71030</v>
      </c>
      <c r="I1959" s="114">
        <v>76560</v>
      </c>
      <c r="J1959" s="113"/>
    </row>
    <row r="1960" spans="4:10" x14ac:dyDescent="0.3">
      <c r="E1960">
        <v>2000</v>
      </c>
      <c r="F1960">
        <v>2200</v>
      </c>
      <c r="G1960">
        <v>660</v>
      </c>
      <c r="H1960" s="114">
        <v>64240</v>
      </c>
      <c r="I1960" s="114">
        <v>69340</v>
      </c>
      <c r="J1960" s="113"/>
    </row>
    <row r="1961" spans="4:10" x14ac:dyDescent="0.3">
      <c r="F1961">
        <v>2400</v>
      </c>
      <c r="G1961">
        <v>660</v>
      </c>
      <c r="H1961" s="114">
        <v>74580</v>
      </c>
      <c r="I1961" s="114">
        <v>80540</v>
      </c>
      <c r="J1961" s="113"/>
    </row>
    <row r="1962" spans="4:10" x14ac:dyDescent="0.3">
      <c r="D1962" t="s">
        <v>366</v>
      </c>
      <c r="E1962">
        <v>1600</v>
      </c>
      <c r="F1962">
        <v>2200</v>
      </c>
      <c r="G1962">
        <v>660</v>
      </c>
      <c r="H1962" s="114">
        <v>57140</v>
      </c>
      <c r="I1962" s="114">
        <v>61400</v>
      </c>
      <c r="J1962" s="113"/>
    </row>
    <row r="1963" spans="4:10" x14ac:dyDescent="0.3">
      <c r="F1963">
        <v>2400</v>
      </c>
      <c r="G1963">
        <v>660</v>
      </c>
      <c r="H1963" s="114">
        <v>67500</v>
      </c>
      <c r="I1963" s="114">
        <v>72600</v>
      </c>
      <c r="J1963" s="113"/>
    </row>
    <row r="1964" spans="4:10" x14ac:dyDescent="0.3">
      <c r="E1964">
        <v>1800</v>
      </c>
      <c r="F1964">
        <v>2200</v>
      </c>
      <c r="G1964">
        <v>660</v>
      </c>
      <c r="H1964" s="114">
        <v>60670</v>
      </c>
      <c r="I1964" s="114">
        <v>65360</v>
      </c>
      <c r="J1964" s="113"/>
    </row>
    <row r="1965" spans="4:10" x14ac:dyDescent="0.3">
      <c r="F1965">
        <v>2400</v>
      </c>
      <c r="G1965">
        <v>660</v>
      </c>
      <c r="H1965" s="114">
        <v>71030</v>
      </c>
      <c r="I1965" s="114">
        <v>76560</v>
      </c>
      <c r="J1965" s="113"/>
    </row>
    <row r="1966" spans="4:10" x14ac:dyDescent="0.3">
      <c r="E1966">
        <v>2000</v>
      </c>
      <c r="F1966">
        <v>2200</v>
      </c>
      <c r="G1966">
        <v>660</v>
      </c>
      <c r="H1966" s="114">
        <v>64240</v>
      </c>
      <c r="I1966" s="114">
        <v>69340</v>
      </c>
      <c r="J1966" s="113"/>
    </row>
    <row r="1967" spans="4:10" x14ac:dyDescent="0.3">
      <c r="F1967">
        <v>2400</v>
      </c>
      <c r="G1967">
        <v>660</v>
      </c>
      <c r="H1967" s="114">
        <v>74580</v>
      </c>
      <c r="I1967" s="114">
        <v>80540</v>
      </c>
      <c r="J1967" s="113"/>
    </row>
    <row r="1968" spans="4:10" x14ac:dyDescent="0.3">
      <c r="D1968" t="s">
        <v>367</v>
      </c>
      <c r="E1968">
        <v>1600</v>
      </c>
      <c r="F1968">
        <v>2200</v>
      </c>
      <c r="G1968">
        <v>660</v>
      </c>
      <c r="H1968" s="114">
        <v>46200</v>
      </c>
      <c r="I1968" s="114">
        <v>50460</v>
      </c>
      <c r="J1968" s="113"/>
    </row>
    <row r="1969" spans="4:10" x14ac:dyDescent="0.3">
      <c r="F1969">
        <v>2400</v>
      </c>
      <c r="G1969">
        <v>660</v>
      </c>
      <c r="H1969" s="114">
        <v>53900</v>
      </c>
      <c r="I1969" s="114">
        <v>59000</v>
      </c>
      <c r="J1969" s="113"/>
    </row>
    <row r="1970" spans="4:10" x14ac:dyDescent="0.3">
      <c r="E1970">
        <v>1800</v>
      </c>
      <c r="F1970">
        <v>2200</v>
      </c>
      <c r="G1970">
        <v>660</v>
      </c>
      <c r="H1970" s="114">
        <v>49730</v>
      </c>
      <c r="I1970" s="114">
        <v>54420</v>
      </c>
      <c r="J1970" s="113"/>
    </row>
    <row r="1971" spans="4:10" x14ac:dyDescent="0.3">
      <c r="F1971">
        <v>2400</v>
      </c>
      <c r="G1971">
        <v>660</v>
      </c>
      <c r="H1971" s="114">
        <v>57430</v>
      </c>
      <c r="I1971" s="114">
        <v>62960</v>
      </c>
      <c r="J1971" s="113"/>
    </row>
    <row r="1972" spans="4:10" x14ac:dyDescent="0.3">
      <c r="E1972">
        <v>2000</v>
      </c>
      <c r="F1972">
        <v>2200</v>
      </c>
      <c r="G1972">
        <v>660</v>
      </c>
      <c r="H1972" s="114">
        <v>53300</v>
      </c>
      <c r="I1972" s="114">
        <v>58400</v>
      </c>
      <c r="J1972" s="113"/>
    </row>
    <row r="1973" spans="4:10" x14ac:dyDescent="0.3">
      <c r="F1973">
        <v>2400</v>
      </c>
      <c r="G1973">
        <v>660</v>
      </c>
      <c r="H1973" s="114">
        <v>60980</v>
      </c>
      <c r="I1973" s="114">
        <v>66940</v>
      </c>
      <c r="J1973" s="113"/>
    </row>
    <row r="1974" spans="4:10" x14ac:dyDescent="0.3">
      <c r="D1974" t="s">
        <v>368</v>
      </c>
      <c r="E1974">
        <v>1600</v>
      </c>
      <c r="F1974">
        <v>2200</v>
      </c>
      <c r="G1974">
        <v>660</v>
      </c>
      <c r="H1974" s="114">
        <v>57140</v>
      </c>
      <c r="I1974" s="114">
        <v>61400</v>
      </c>
      <c r="J1974" s="113"/>
    </row>
    <row r="1975" spans="4:10" x14ac:dyDescent="0.3">
      <c r="F1975">
        <v>2400</v>
      </c>
      <c r="G1975">
        <v>660</v>
      </c>
      <c r="H1975" s="114">
        <v>67500</v>
      </c>
      <c r="I1975" s="114">
        <v>72600</v>
      </c>
      <c r="J1975" s="113"/>
    </row>
    <row r="1976" spans="4:10" x14ac:dyDescent="0.3">
      <c r="E1976">
        <v>1800</v>
      </c>
      <c r="F1976">
        <v>2200</v>
      </c>
      <c r="G1976">
        <v>660</v>
      </c>
      <c r="H1976" s="114">
        <v>60670</v>
      </c>
      <c r="I1976" s="114">
        <v>65360</v>
      </c>
      <c r="J1976" s="113"/>
    </row>
    <row r="1977" spans="4:10" x14ac:dyDescent="0.3">
      <c r="F1977">
        <v>2400</v>
      </c>
      <c r="G1977">
        <v>660</v>
      </c>
      <c r="H1977" s="114">
        <v>71030</v>
      </c>
      <c r="I1977" s="114">
        <v>76560</v>
      </c>
      <c r="J1977" s="113"/>
    </row>
    <row r="1978" spans="4:10" x14ac:dyDescent="0.3">
      <c r="E1978">
        <v>2000</v>
      </c>
      <c r="F1978">
        <v>2200</v>
      </c>
      <c r="G1978">
        <v>660</v>
      </c>
      <c r="H1978" s="114">
        <v>64240</v>
      </c>
      <c r="I1978" s="114">
        <v>69340</v>
      </c>
      <c r="J1978" s="113"/>
    </row>
    <row r="1979" spans="4:10" x14ac:dyDescent="0.3">
      <c r="F1979">
        <v>2400</v>
      </c>
      <c r="G1979">
        <v>660</v>
      </c>
      <c r="H1979" s="114">
        <v>74580</v>
      </c>
      <c r="I1979" s="114">
        <v>80540</v>
      </c>
      <c r="J1979" s="113"/>
    </row>
    <row r="1980" spans="4:10" x14ac:dyDescent="0.3">
      <c r="D1980" t="s">
        <v>369</v>
      </c>
      <c r="E1980">
        <v>1600</v>
      </c>
      <c r="F1980">
        <v>2200</v>
      </c>
      <c r="G1980">
        <v>660</v>
      </c>
      <c r="H1980" s="114">
        <v>48540</v>
      </c>
      <c r="I1980" s="114">
        <v>52800</v>
      </c>
      <c r="J1980" s="113"/>
    </row>
    <row r="1981" spans="4:10" x14ac:dyDescent="0.3">
      <c r="F1981">
        <v>2400</v>
      </c>
      <c r="G1981">
        <v>660</v>
      </c>
      <c r="H1981" s="114">
        <v>56520</v>
      </c>
      <c r="I1981" s="114">
        <v>61620</v>
      </c>
      <c r="J1981" s="113"/>
    </row>
    <row r="1982" spans="4:10" x14ac:dyDescent="0.3">
      <c r="E1982">
        <v>1800</v>
      </c>
      <c r="F1982">
        <v>2200</v>
      </c>
      <c r="G1982">
        <v>660</v>
      </c>
      <c r="H1982" s="114">
        <v>52070</v>
      </c>
      <c r="I1982" s="114">
        <v>56760</v>
      </c>
      <c r="J1982" s="113"/>
    </row>
    <row r="1983" spans="4:10" x14ac:dyDescent="0.3">
      <c r="F1983">
        <v>2400</v>
      </c>
      <c r="G1983">
        <v>660</v>
      </c>
      <c r="H1983" s="114">
        <v>60050</v>
      </c>
      <c r="I1983" s="114">
        <v>65580</v>
      </c>
      <c r="J1983" s="113"/>
    </row>
    <row r="1984" spans="4:10" x14ac:dyDescent="0.3">
      <c r="E1984">
        <v>2000</v>
      </c>
      <c r="F1984">
        <v>2200</v>
      </c>
      <c r="G1984">
        <v>660</v>
      </c>
      <c r="H1984" s="114">
        <v>55640</v>
      </c>
      <c r="I1984" s="114">
        <v>60740</v>
      </c>
      <c r="J1984" s="113"/>
    </row>
    <row r="1985" spans="4:10" x14ac:dyDescent="0.3">
      <c r="F1985">
        <v>2400</v>
      </c>
      <c r="G1985">
        <v>660</v>
      </c>
      <c r="H1985" s="114">
        <v>63600</v>
      </c>
      <c r="I1985" s="114">
        <v>69560</v>
      </c>
      <c r="J1985" s="113"/>
    </row>
    <row r="1986" spans="4:10" x14ac:dyDescent="0.3">
      <c r="D1986" t="s">
        <v>370</v>
      </c>
      <c r="E1986">
        <v>1600</v>
      </c>
      <c r="F1986">
        <v>2200</v>
      </c>
      <c r="G1986">
        <v>660</v>
      </c>
      <c r="H1986" s="114">
        <v>57140</v>
      </c>
      <c r="I1986" s="114">
        <v>61400</v>
      </c>
      <c r="J1986" s="113"/>
    </row>
    <row r="1987" spans="4:10" x14ac:dyDescent="0.3">
      <c r="F1987">
        <v>2400</v>
      </c>
      <c r="G1987">
        <v>660</v>
      </c>
      <c r="H1987" s="114">
        <v>67500</v>
      </c>
      <c r="I1987" s="114">
        <v>72600</v>
      </c>
      <c r="J1987" s="113"/>
    </row>
    <row r="1988" spans="4:10" x14ac:dyDescent="0.3">
      <c r="E1988">
        <v>1800</v>
      </c>
      <c r="F1988">
        <v>2200</v>
      </c>
      <c r="G1988">
        <v>660</v>
      </c>
      <c r="H1988" s="114">
        <v>60670</v>
      </c>
      <c r="I1988" s="114">
        <v>65360</v>
      </c>
      <c r="J1988" s="113"/>
    </row>
    <row r="1989" spans="4:10" x14ac:dyDescent="0.3">
      <c r="F1989">
        <v>2400</v>
      </c>
      <c r="G1989">
        <v>660</v>
      </c>
      <c r="H1989" s="114">
        <v>71030</v>
      </c>
      <c r="I1989" s="114">
        <v>76560</v>
      </c>
      <c r="J1989" s="113"/>
    </row>
    <row r="1990" spans="4:10" x14ac:dyDescent="0.3">
      <c r="E1990">
        <v>2000</v>
      </c>
      <c r="F1990">
        <v>2200</v>
      </c>
      <c r="G1990">
        <v>660</v>
      </c>
      <c r="H1990" s="114">
        <v>64240</v>
      </c>
      <c r="I1990" s="114">
        <v>69340</v>
      </c>
      <c r="J1990" s="113"/>
    </row>
    <row r="1991" spans="4:10" x14ac:dyDescent="0.3">
      <c r="F1991">
        <v>2400</v>
      </c>
      <c r="G1991">
        <v>660</v>
      </c>
      <c r="H1991" s="114">
        <v>74580</v>
      </c>
      <c r="I1991" s="114">
        <v>80540</v>
      </c>
      <c r="J1991" s="113"/>
    </row>
    <row r="1992" spans="4:10" x14ac:dyDescent="0.3">
      <c r="D1992" t="s">
        <v>371</v>
      </c>
      <c r="E1992">
        <v>1600</v>
      </c>
      <c r="F1992">
        <v>2200</v>
      </c>
      <c r="G1992">
        <v>660</v>
      </c>
      <c r="H1992" s="114">
        <v>57140</v>
      </c>
      <c r="I1992" s="114">
        <v>61400</v>
      </c>
      <c r="J1992" s="113"/>
    </row>
    <row r="1993" spans="4:10" x14ac:dyDescent="0.3">
      <c r="F1993">
        <v>2400</v>
      </c>
      <c r="G1993">
        <v>660</v>
      </c>
      <c r="H1993" s="114">
        <v>67500</v>
      </c>
      <c r="I1993" s="114">
        <v>72600</v>
      </c>
      <c r="J1993" s="113"/>
    </row>
    <row r="1994" spans="4:10" x14ac:dyDescent="0.3">
      <c r="E1994">
        <v>1800</v>
      </c>
      <c r="F1994">
        <v>2200</v>
      </c>
      <c r="G1994">
        <v>660</v>
      </c>
      <c r="H1994" s="114">
        <v>60670</v>
      </c>
      <c r="I1994" s="114">
        <v>65360</v>
      </c>
      <c r="J1994" s="113"/>
    </row>
    <row r="1995" spans="4:10" x14ac:dyDescent="0.3">
      <c r="F1995">
        <v>2400</v>
      </c>
      <c r="G1995">
        <v>660</v>
      </c>
      <c r="H1995" s="114">
        <v>71030</v>
      </c>
      <c r="I1995" s="114">
        <v>76560</v>
      </c>
      <c r="J1995" s="113"/>
    </row>
    <row r="1996" spans="4:10" x14ac:dyDescent="0.3">
      <c r="E1996">
        <v>2000</v>
      </c>
      <c r="F1996">
        <v>2200</v>
      </c>
      <c r="G1996">
        <v>660</v>
      </c>
      <c r="H1996" s="114">
        <v>64240</v>
      </c>
      <c r="I1996" s="114">
        <v>69340</v>
      </c>
      <c r="J1996" s="113"/>
    </row>
    <row r="1997" spans="4:10" x14ac:dyDescent="0.3">
      <c r="F1997">
        <v>2400</v>
      </c>
      <c r="G1997">
        <v>660</v>
      </c>
      <c r="H1997" s="114">
        <v>74580</v>
      </c>
      <c r="I1997" s="114">
        <v>80540</v>
      </c>
      <c r="J1997" s="113"/>
    </row>
    <row r="1998" spans="4:10" x14ac:dyDescent="0.3">
      <c r="D1998" t="s">
        <v>372</v>
      </c>
      <c r="E1998">
        <v>1600</v>
      </c>
      <c r="F1998">
        <v>2200</v>
      </c>
      <c r="G1998">
        <v>660</v>
      </c>
      <c r="H1998" s="114">
        <v>48540</v>
      </c>
      <c r="I1998" s="114">
        <v>52800</v>
      </c>
      <c r="J1998" s="113"/>
    </row>
    <row r="1999" spans="4:10" x14ac:dyDescent="0.3">
      <c r="F1999">
        <v>2400</v>
      </c>
      <c r="G1999">
        <v>660</v>
      </c>
      <c r="H1999" s="114">
        <v>56520</v>
      </c>
      <c r="I1999" s="114">
        <v>61620</v>
      </c>
      <c r="J1999" s="113"/>
    </row>
    <row r="2000" spans="4:10" x14ac:dyDescent="0.3">
      <c r="E2000">
        <v>1800</v>
      </c>
      <c r="F2000">
        <v>2200</v>
      </c>
      <c r="G2000">
        <v>660</v>
      </c>
      <c r="H2000" s="114">
        <v>52070</v>
      </c>
      <c r="I2000" s="114">
        <v>56760</v>
      </c>
      <c r="J2000" s="113"/>
    </row>
    <row r="2001" spans="4:10" x14ac:dyDescent="0.3">
      <c r="F2001">
        <v>2400</v>
      </c>
      <c r="G2001">
        <v>660</v>
      </c>
      <c r="H2001" s="114">
        <v>60050</v>
      </c>
      <c r="I2001" s="114">
        <v>65580</v>
      </c>
      <c r="J2001" s="113"/>
    </row>
    <row r="2002" spans="4:10" x14ac:dyDescent="0.3">
      <c r="E2002">
        <v>2000</v>
      </c>
      <c r="F2002">
        <v>2200</v>
      </c>
      <c r="G2002">
        <v>660</v>
      </c>
      <c r="H2002" s="114">
        <v>55640</v>
      </c>
      <c r="I2002" s="114">
        <v>60740</v>
      </c>
      <c r="J2002" s="113"/>
    </row>
    <row r="2003" spans="4:10" x14ac:dyDescent="0.3">
      <c r="F2003">
        <v>2400</v>
      </c>
      <c r="G2003">
        <v>660</v>
      </c>
      <c r="H2003" s="114">
        <v>63600</v>
      </c>
      <c r="I2003" s="114">
        <v>69560</v>
      </c>
      <c r="J2003" s="113"/>
    </row>
    <row r="2004" spans="4:10" x14ac:dyDescent="0.3">
      <c r="D2004" t="s">
        <v>373</v>
      </c>
      <c r="E2004">
        <v>1600</v>
      </c>
      <c r="F2004">
        <v>2200</v>
      </c>
      <c r="G2004">
        <v>660</v>
      </c>
      <c r="H2004" s="114">
        <v>57140</v>
      </c>
      <c r="I2004" s="114">
        <v>61400</v>
      </c>
      <c r="J2004" s="113"/>
    </row>
    <row r="2005" spans="4:10" x14ac:dyDescent="0.3">
      <c r="F2005">
        <v>2400</v>
      </c>
      <c r="G2005">
        <v>660</v>
      </c>
      <c r="H2005" s="114">
        <v>67500</v>
      </c>
      <c r="I2005" s="114">
        <v>72600</v>
      </c>
      <c r="J2005" s="113"/>
    </row>
    <row r="2006" spans="4:10" x14ac:dyDescent="0.3">
      <c r="E2006">
        <v>1800</v>
      </c>
      <c r="F2006">
        <v>2200</v>
      </c>
      <c r="G2006">
        <v>660</v>
      </c>
      <c r="H2006" s="114">
        <v>60670</v>
      </c>
      <c r="I2006" s="114">
        <v>65360</v>
      </c>
      <c r="J2006" s="113"/>
    </row>
    <row r="2007" spans="4:10" x14ac:dyDescent="0.3">
      <c r="F2007">
        <v>2400</v>
      </c>
      <c r="G2007">
        <v>660</v>
      </c>
      <c r="H2007" s="114">
        <v>71030</v>
      </c>
      <c r="I2007" s="114">
        <v>76560</v>
      </c>
      <c r="J2007" s="113"/>
    </row>
    <row r="2008" spans="4:10" x14ac:dyDescent="0.3">
      <c r="E2008">
        <v>2000</v>
      </c>
      <c r="F2008">
        <v>2200</v>
      </c>
      <c r="G2008">
        <v>660</v>
      </c>
      <c r="H2008" s="114">
        <v>64240</v>
      </c>
      <c r="I2008" s="114">
        <v>69340</v>
      </c>
      <c r="J2008" s="113"/>
    </row>
    <row r="2009" spans="4:10" x14ac:dyDescent="0.3">
      <c r="F2009">
        <v>2400</v>
      </c>
      <c r="G2009">
        <v>660</v>
      </c>
      <c r="H2009" s="114">
        <v>74580</v>
      </c>
      <c r="I2009" s="114">
        <v>80540</v>
      </c>
      <c r="J2009" s="113"/>
    </row>
    <row r="2010" spans="4:10" x14ac:dyDescent="0.3">
      <c r="D2010" t="s">
        <v>374</v>
      </c>
      <c r="E2010">
        <v>1600</v>
      </c>
      <c r="F2010">
        <v>2200</v>
      </c>
      <c r="G2010">
        <v>660</v>
      </c>
      <c r="H2010" s="114">
        <v>73400</v>
      </c>
      <c r="I2010" s="114">
        <v>77020</v>
      </c>
      <c r="J2010" s="113"/>
    </row>
    <row r="2011" spans="4:10" x14ac:dyDescent="0.3">
      <c r="F2011">
        <v>2400</v>
      </c>
      <c r="G2011">
        <v>660</v>
      </c>
      <c r="H2011" s="114">
        <v>87020</v>
      </c>
      <c r="I2011" s="114">
        <v>91480</v>
      </c>
      <c r="J2011" s="113"/>
    </row>
    <row r="2012" spans="4:10" x14ac:dyDescent="0.3">
      <c r="E2012">
        <v>1800</v>
      </c>
      <c r="F2012">
        <v>2200</v>
      </c>
      <c r="G2012">
        <v>660</v>
      </c>
      <c r="H2012" s="114">
        <v>76930</v>
      </c>
      <c r="I2012" s="114">
        <v>80980</v>
      </c>
      <c r="J2012" s="113"/>
    </row>
    <row r="2013" spans="4:10" x14ac:dyDescent="0.3">
      <c r="F2013">
        <v>2400</v>
      </c>
      <c r="G2013">
        <v>660</v>
      </c>
      <c r="H2013" s="114">
        <v>90550</v>
      </c>
      <c r="I2013" s="114">
        <v>95440</v>
      </c>
      <c r="J2013" s="113"/>
    </row>
    <row r="2014" spans="4:10" x14ac:dyDescent="0.3">
      <c r="E2014">
        <v>2000</v>
      </c>
      <c r="F2014">
        <v>2200</v>
      </c>
      <c r="G2014">
        <v>660</v>
      </c>
      <c r="H2014" s="114">
        <v>80500</v>
      </c>
      <c r="I2014" s="114">
        <v>84960</v>
      </c>
      <c r="J2014" s="113"/>
    </row>
    <row r="2015" spans="4:10" x14ac:dyDescent="0.3">
      <c r="F2015">
        <v>2400</v>
      </c>
      <c r="G2015">
        <v>660</v>
      </c>
      <c r="H2015" s="114">
        <v>94100</v>
      </c>
      <c r="I2015" s="114">
        <v>99420</v>
      </c>
      <c r="J2015" s="113"/>
    </row>
    <row r="2016" spans="4:10" x14ac:dyDescent="0.3">
      <c r="D2016" t="s">
        <v>375</v>
      </c>
      <c r="E2016">
        <v>1600</v>
      </c>
      <c r="F2016">
        <v>2200</v>
      </c>
      <c r="G2016">
        <v>660</v>
      </c>
      <c r="H2016" s="114">
        <v>73400</v>
      </c>
      <c r="I2016" s="114">
        <v>77020</v>
      </c>
      <c r="J2016" s="113"/>
    </row>
    <row r="2017" spans="4:10" x14ac:dyDescent="0.3">
      <c r="F2017">
        <v>2400</v>
      </c>
      <c r="G2017">
        <v>660</v>
      </c>
      <c r="H2017" s="114">
        <v>87020</v>
      </c>
      <c r="I2017" s="114">
        <v>91480</v>
      </c>
      <c r="J2017" s="113"/>
    </row>
    <row r="2018" spans="4:10" x14ac:dyDescent="0.3">
      <c r="E2018">
        <v>1800</v>
      </c>
      <c r="F2018">
        <v>2200</v>
      </c>
      <c r="G2018">
        <v>660</v>
      </c>
      <c r="H2018" s="114">
        <v>76930</v>
      </c>
      <c r="I2018" s="114">
        <v>80980</v>
      </c>
      <c r="J2018" s="113"/>
    </row>
    <row r="2019" spans="4:10" x14ac:dyDescent="0.3">
      <c r="F2019">
        <v>2400</v>
      </c>
      <c r="G2019">
        <v>660</v>
      </c>
      <c r="H2019" s="114">
        <v>90550</v>
      </c>
      <c r="I2019" s="114">
        <v>95440</v>
      </c>
      <c r="J2019" s="113"/>
    </row>
    <row r="2020" spans="4:10" x14ac:dyDescent="0.3">
      <c r="E2020">
        <v>2000</v>
      </c>
      <c r="F2020">
        <v>2200</v>
      </c>
      <c r="G2020">
        <v>660</v>
      </c>
      <c r="H2020" s="114">
        <v>80500</v>
      </c>
      <c r="I2020" s="114">
        <v>84960</v>
      </c>
      <c r="J2020" s="113"/>
    </row>
    <row r="2021" spans="4:10" x14ac:dyDescent="0.3">
      <c r="F2021">
        <v>2400</v>
      </c>
      <c r="G2021">
        <v>660</v>
      </c>
      <c r="H2021" s="114">
        <v>94100</v>
      </c>
      <c r="I2021" s="114">
        <v>99420</v>
      </c>
      <c r="J2021" s="113"/>
    </row>
    <row r="2022" spans="4:10" x14ac:dyDescent="0.3">
      <c r="D2022" t="s">
        <v>376</v>
      </c>
      <c r="E2022">
        <v>1600</v>
      </c>
      <c r="F2022">
        <v>2200</v>
      </c>
      <c r="G2022">
        <v>660</v>
      </c>
      <c r="H2022" s="114">
        <v>73400</v>
      </c>
      <c r="I2022" s="114">
        <v>77020</v>
      </c>
      <c r="J2022" s="113"/>
    </row>
    <row r="2023" spans="4:10" x14ac:dyDescent="0.3">
      <c r="F2023">
        <v>2400</v>
      </c>
      <c r="G2023">
        <v>660</v>
      </c>
      <c r="H2023" s="114">
        <v>87020</v>
      </c>
      <c r="I2023" s="114">
        <v>91480</v>
      </c>
      <c r="J2023" s="113"/>
    </row>
    <row r="2024" spans="4:10" x14ac:dyDescent="0.3">
      <c r="E2024">
        <v>1800</v>
      </c>
      <c r="F2024">
        <v>2200</v>
      </c>
      <c r="G2024">
        <v>660</v>
      </c>
      <c r="H2024" s="114">
        <v>76930</v>
      </c>
      <c r="I2024" s="114">
        <v>80980</v>
      </c>
      <c r="J2024" s="113"/>
    </row>
    <row r="2025" spans="4:10" x14ac:dyDescent="0.3">
      <c r="F2025">
        <v>2400</v>
      </c>
      <c r="G2025">
        <v>660</v>
      </c>
      <c r="H2025" s="114">
        <v>90550</v>
      </c>
      <c r="I2025" s="114">
        <v>95440</v>
      </c>
      <c r="J2025" s="113"/>
    </row>
    <row r="2026" spans="4:10" x14ac:dyDescent="0.3">
      <c r="E2026">
        <v>2000</v>
      </c>
      <c r="F2026">
        <v>2200</v>
      </c>
      <c r="G2026">
        <v>660</v>
      </c>
      <c r="H2026" s="114">
        <v>80500</v>
      </c>
      <c r="I2026" s="114">
        <v>84960</v>
      </c>
      <c r="J2026" s="113"/>
    </row>
    <row r="2027" spans="4:10" x14ac:dyDescent="0.3">
      <c r="F2027">
        <v>2400</v>
      </c>
      <c r="G2027">
        <v>660</v>
      </c>
      <c r="H2027" s="114">
        <v>94100</v>
      </c>
      <c r="I2027" s="114">
        <v>99420</v>
      </c>
      <c r="J2027" s="113"/>
    </row>
    <row r="2028" spans="4:10" x14ac:dyDescent="0.3">
      <c r="D2028" t="s">
        <v>377</v>
      </c>
      <c r="E2028">
        <v>1600</v>
      </c>
      <c r="F2028">
        <v>2200</v>
      </c>
      <c r="G2028">
        <v>660</v>
      </c>
      <c r="H2028" s="114">
        <v>64800</v>
      </c>
      <c r="I2028" s="114">
        <v>68420</v>
      </c>
      <c r="J2028" s="113"/>
    </row>
    <row r="2029" spans="4:10" x14ac:dyDescent="0.3">
      <c r="F2029">
        <v>2400</v>
      </c>
      <c r="G2029">
        <v>660</v>
      </c>
      <c r="H2029" s="114">
        <v>76040</v>
      </c>
      <c r="I2029" s="114">
        <v>80500</v>
      </c>
      <c r="J2029" s="113"/>
    </row>
    <row r="2030" spans="4:10" x14ac:dyDescent="0.3">
      <c r="E2030">
        <v>1800</v>
      </c>
      <c r="F2030">
        <v>2200</v>
      </c>
      <c r="G2030">
        <v>660</v>
      </c>
      <c r="H2030" s="114">
        <v>68330</v>
      </c>
      <c r="I2030" s="114">
        <v>72380</v>
      </c>
      <c r="J2030" s="113"/>
    </row>
    <row r="2031" spans="4:10" x14ac:dyDescent="0.3">
      <c r="F2031">
        <v>2400</v>
      </c>
      <c r="G2031">
        <v>660</v>
      </c>
      <c r="H2031" s="114">
        <v>79570</v>
      </c>
      <c r="I2031" s="114">
        <v>84460</v>
      </c>
      <c r="J2031" s="113"/>
    </row>
    <row r="2032" spans="4:10" x14ac:dyDescent="0.3">
      <c r="E2032">
        <v>2000</v>
      </c>
      <c r="F2032">
        <v>2200</v>
      </c>
      <c r="G2032">
        <v>660</v>
      </c>
      <c r="H2032" s="114">
        <v>71900</v>
      </c>
      <c r="I2032" s="114">
        <v>76360</v>
      </c>
      <c r="J2032" s="113"/>
    </row>
    <row r="2033" spans="4:10" x14ac:dyDescent="0.3">
      <c r="F2033">
        <v>2400</v>
      </c>
      <c r="G2033">
        <v>660</v>
      </c>
      <c r="H2033" s="114">
        <v>83120</v>
      </c>
      <c r="I2033" s="114">
        <v>88440</v>
      </c>
      <c r="J2033" s="113"/>
    </row>
    <row r="2034" spans="4:10" x14ac:dyDescent="0.3">
      <c r="D2034" t="s">
        <v>378</v>
      </c>
      <c r="E2034">
        <v>1600</v>
      </c>
      <c r="F2034">
        <v>2200</v>
      </c>
      <c r="G2034">
        <v>660</v>
      </c>
      <c r="H2034" s="114">
        <v>64800</v>
      </c>
      <c r="I2034" s="114">
        <v>68420</v>
      </c>
      <c r="J2034" s="113"/>
    </row>
    <row r="2035" spans="4:10" x14ac:dyDescent="0.3">
      <c r="F2035">
        <v>2400</v>
      </c>
      <c r="G2035">
        <v>660</v>
      </c>
      <c r="H2035" s="114">
        <v>76040</v>
      </c>
      <c r="I2035" s="114">
        <v>80500</v>
      </c>
      <c r="J2035" s="113"/>
    </row>
    <row r="2036" spans="4:10" x14ac:dyDescent="0.3">
      <c r="E2036">
        <v>1800</v>
      </c>
      <c r="F2036">
        <v>2200</v>
      </c>
      <c r="G2036">
        <v>660</v>
      </c>
      <c r="H2036" s="114">
        <v>68330</v>
      </c>
      <c r="I2036" s="114">
        <v>72380</v>
      </c>
      <c r="J2036" s="113"/>
    </row>
    <row r="2037" spans="4:10" x14ac:dyDescent="0.3">
      <c r="F2037">
        <v>2400</v>
      </c>
      <c r="G2037">
        <v>660</v>
      </c>
      <c r="H2037" s="114">
        <v>79570</v>
      </c>
      <c r="I2037" s="114">
        <v>84460</v>
      </c>
      <c r="J2037" s="113"/>
    </row>
    <row r="2038" spans="4:10" x14ac:dyDescent="0.3">
      <c r="E2038">
        <v>2000</v>
      </c>
      <c r="F2038">
        <v>2200</v>
      </c>
      <c r="G2038">
        <v>660</v>
      </c>
      <c r="H2038" s="114">
        <v>71900</v>
      </c>
      <c r="I2038" s="114">
        <v>76360</v>
      </c>
      <c r="J2038" s="113"/>
    </row>
    <row r="2039" spans="4:10" x14ac:dyDescent="0.3">
      <c r="F2039">
        <v>2400</v>
      </c>
      <c r="G2039">
        <v>660</v>
      </c>
      <c r="H2039" s="114">
        <v>83120</v>
      </c>
      <c r="I2039" s="114">
        <v>88440</v>
      </c>
      <c r="J2039" s="113"/>
    </row>
    <row r="2040" spans="4:10" x14ac:dyDescent="0.3">
      <c r="D2040" t="s">
        <v>379</v>
      </c>
      <c r="E2040">
        <v>1600</v>
      </c>
      <c r="F2040">
        <v>2200</v>
      </c>
      <c r="G2040">
        <v>660</v>
      </c>
      <c r="H2040" s="114">
        <v>64800</v>
      </c>
      <c r="I2040" s="114">
        <v>68420</v>
      </c>
      <c r="J2040" s="113"/>
    </row>
    <row r="2041" spans="4:10" x14ac:dyDescent="0.3">
      <c r="F2041">
        <v>2400</v>
      </c>
      <c r="G2041">
        <v>660</v>
      </c>
      <c r="H2041" s="114">
        <v>76040</v>
      </c>
      <c r="I2041" s="114">
        <v>80500</v>
      </c>
      <c r="J2041" s="113"/>
    </row>
    <row r="2042" spans="4:10" x14ac:dyDescent="0.3">
      <c r="E2042">
        <v>1800</v>
      </c>
      <c r="F2042">
        <v>2200</v>
      </c>
      <c r="G2042">
        <v>660</v>
      </c>
      <c r="H2042" s="114">
        <v>68330</v>
      </c>
      <c r="I2042" s="114">
        <v>72380</v>
      </c>
      <c r="J2042" s="113"/>
    </row>
    <row r="2043" spans="4:10" x14ac:dyDescent="0.3">
      <c r="F2043">
        <v>2400</v>
      </c>
      <c r="G2043">
        <v>660</v>
      </c>
      <c r="H2043" s="114">
        <v>79570</v>
      </c>
      <c r="I2043" s="114">
        <v>84460</v>
      </c>
      <c r="J2043" s="113"/>
    </row>
    <row r="2044" spans="4:10" x14ac:dyDescent="0.3">
      <c r="E2044">
        <v>2000</v>
      </c>
      <c r="F2044">
        <v>2200</v>
      </c>
      <c r="G2044">
        <v>660</v>
      </c>
      <c r="H2044" s="114">
        <v>71900</v>
      </c>
      <c r="I2044" s="114">
        <v>76360</v>
      </c>
      <c r="J2044" s="113"/>
    </row>
    <row r="2045" spans="4:10" x14ac:dyDescent="0.3">
      <c r="F2045">
        <v>2400</v>
      </c>
      <c r="G2045">
        <v>660</v>
      </c>
      <c r="H2045" s="114">
        <v>83120</v>
      </c>
      <c r="I2045" s="114">
        <v>88440</v>
      </c>
      <c r="J2045" s="113"/>
    </row>
    <row r="2046" spans="4:10" x14ac:dyDescent="0.3">
      <c r="D2046" t="s">
        <v>380</v>
      </c>
      <c r="E2046">
        <v>1600</v>
      </c>
      <c r="F2046">
        <v>2200</v>
      </c>
      <c r="G2046">
        <v>660</v>
      </c>
      <c r="H2046" s="114">
        <v>64800</v>
      </c>
      <c r="I2046" s="114">
        <v>68420</v>
      </c>
      <c r="J2046" s="113"/>
    </row>
    <row r="2047" spans="4:10" x14ac:dyDescent="0.3">
      <c r="F2047">
        <v>2400</v>
      </c>
      <c r="G2047">
        <v>660</v>
      </c>
      <c r="H2047" s="114">
        <v>76040</v>
      </c>
      <c r="I2047" s="114">
        <v>80500</v>
      </c>
      <c r="J2047" s="113"/>
    </row>
    <row r="2048" spans="4:10" x14ac:dyDescent="0.3">
      <c r="E2048">
        <v>1800</v>
      </c>
      <c r="F2048">
        <v>2200</v>
      </c>
      <c r="G2048">
        <v>660</v>
      </c>
      <c r="H2048" s="114">
        <v>68330</v>
      </c>
      <c r="I2048" s="114">
        <v>72380</v>
      </c>
      <c r="J2048" s="113"/>
    </row>
    <row r="2049" spans="4:10" x14ac:dyDescent="0.3">
      <c r="F2049">
        <v>2400</v>
      </c>
      <c r="G2049">
        <v>660</v>
      </c>
      <c r="H2049" s="114">
        <v>79570</v>
      </c>
      <c r="I2049" s="114">
        <v>84460</v>
      </c>
      <c r="J2049" s="113"/>
    </row>
    <row r="2050" spans="4:10" x14ac:dyDescent="0.3">
      <c r="E2050">
        <v>2000</v>
      </c>
      <c r="F2050">
        <v>2200</v>
      </c>
      <c r="G2050">
        <v>660</v>
      </c>
      <c r="H2050" s="114">
        <v>71900</v>
      </c>
      <c r="I2050" s="114">
        <v>76360</v>
      </c>
      <c r="J2050" s="113"/>
    </row>
    <row r="2051" spans="4:10" x14ac:dyDescent="0.3">
      <c r="F2051">
        <v>2400</v>
      </c>
      <c r="G2051">
        <v>660</v>
      </c>
      <c r="H2051" s="114">
        <v>83120</v>
      </c>
      <c r="I2051" s="114">
        <v>88440</v>
      </c>
      <c r="J2051" s="113"/>
    </row>
    <row r="2052" spans="4:10" x14ac:dyDescent="0.3">
      <c r="D2052" t="s">
        <v>381</v>
      </c>
      <c r="E2052">
        <v>1600</v>
      </c>
      <c r="F2052">
        <v>2200</v>
      </c>
      <c r="G2052">
        <v>660</v>
      </c>
      <c r="H2052" s="114">
        <v>64800</v>
      </c>
      <c r="I2052" s="114">
        <v>68420</v>
      </c>
      <c r="J2052" s="113"/>
    </row>
    <row r="2053" spans="4:10" x14ac:dyDescent="0.3">
      <c r="F2053">
        <v>2400</v>
      </c>
      <c r="G2053">
        <v>660</v>
      </c>
      <c r="H2053" s="114">
        <v>76040</v>
      </c>
      <c r="I2053" s="114">
        <v>80500</v>
      </c>
      <c r="J2053" s="113"/>
    </row>
    <row r="2054" spans="4:10" x14ac:dyDescent="0.3">
      <c r="E2054">
        <v>1800</v>
      </c>
      <c r="F2054">
        <v>2200</v>
      </c>
      <c r="G2054">
        <v>660</v>
      </c>
      <c r="H2054" s="114">
        <v>68330</v>
      </c>
      <c r="I2054" s="114">
        <v>72380</v>
      </c>
      <c r="J2054" s="113"/>
    </row>
    <row r="2055" spans="4:10" x14ac:dyDescent="0.3">
      <c r="F2055">
        <v>2400</v>
      </c>
      <c r="G2055">
        <v>660</v>
      </c>
      <c r="H2055" s="114">
        <v>79570</v>
      </c>
      <c r="I2055" s="114">
        <v>84460</v>
      </c>
      <c r="J2055" s="113"/>
    </row>
    <row r="2056" spans="4:10" x14ac:dyDescent="0.3">
      <c r="E2056">
        <v>2000</v>
      </c>
      <c r="F2056">
        <v>2200</v>
      </c>
      <c r="G2056">
        <v>660</v>
      </c>
      <c r="H2056" s="114">
        <v>71900</v>
      </c>
      <c r="I2056" s="114">
        <v>76360</v>
      </c>
      <c r="J2056" s="113"/>
    </row>
    <row r="2057" spans="4:10" x14ac:dyDescent="0.3">
      <c r="F2057">
        <v>2400</v>
      </c>
      <c r="G2057">
        <v>660</v>
      </c>
      <c r="H2057" s="114">
        <v>83120</v>
      </c>
      <c r="I2057" s="114">
        <v>88440</v>
      </c>
      <c r="J2057" s="113"/>
    </row>
    <row r="2058" spans="4:10" x14ac:dyDescent="0.3">
      <c r="D2058" t="s">
        <v>382</v>
      </c>
      <c r="E2058">
        <v>1600</v>
      </c>
      <c r="F2058">
        <v>2200</v>
      </c>
      <c r="G2058">
        <v>660</v>
      </c>
      <c r="H2058" s="114">
        <v>73400</v>
      </c>
      <c r="I2058" s="114">
        <v>77020</v>
      </c>
      <c r="J2058" s="113"/>
    </row>
    <row r="2059" spans="4:10" x14ac:dyDescent="0.3">
      <c r="F2059">
        <v>2400</v>
      </c>
      <c r="G2059">
        <v>660</v>
      </c>
      <c r="H2059" s="114">
        <v>87020</v>
      </c>
      <c r="I2059" s="114">
        <v>91480</v>
      </c>
      <c r="J2059" s="113"/>
    </row>
    <row r="2060" spans="4:10" x14ac:dyDescent="0.3">
      <c r="E2060">
        <v>1800</v>
      </c>
      <c r="F2060">
        <v>2200</v>
      </c>
      <c r="G2060">
        <v>660</v>
      </c>
      <c r="H2060" s="114">
        <v>76930</v>
      </c>
      <c r="I2060" s="114">
        <v>80980</v>
      </c>
      <c r="J2060" s="113"/>
    </row>
    <row r="2061" spans="4:10" x14ac:dyDescent="0.3">
      <c r="F2061">
        <v>2400</v>
      </c>
      <c r="G2061">
        <v>660</v>
      </c>
      <c r="H2061" s="114">
        <v>90550</v>
      </c>
      <c r="I2061" s="114">
        <v>95440</v>
      </c>
      <c r="J2061" s="113"/>
    </row>
    <row r="2062" spans="4:10" x14ac:dyDescent="0.3">
      <c r="E2062">
        <v>2000</v>
      </c>
      <c r="F2062">
        <v>2200</v>
      </c>
      <c r="G2062">
        <v>660</v>
      </c>
      <c r="H2062" s="114">
        <v>80500</v>
      </c>
      <c r="I2062" s="114">
        <v>84960</v>
      </c>
      <c r="J2062" s="113"/>
    </row>
    <row r="2063" spans="4:10" x14ac:dyDescent="0.3">
      <c r="F2063">
        <v>2400</v>
      </c>
      <c r="G2063">
        <v>660</v>
      </c>
      <c r="H2063" s="114">
        <v>94100</v>
      </c>
      <c r="I2063" s="114">
        <v>99420</v>
      </c>
      <c r="J2063" s="113"/>
    </row>
    <row r="2064" spans="4:10" x14ac:dyDescent="0.3">
      <c r="D2064" t="s">
        <v>383</v>
      </c>
      <c r="E2064">
        <v>1600</v>
      </c>
      <c r="F2064">
        <v>2200</v>
      </c>
      <c r="G2064">
        <v>660</v>
      </c>
      <c r="H2064" s="114">
        <v>73400</v>
      </c>
      <c r="I2064" s="114">
        <v>77020</v>
      </c>
      <c r="J2064" s="113"/>
    </row>
    <row r="2065" spans="4:10" x14ac:dyDescent="0.3">
      <c r="F2065">
        <v>2400</v>
      </c>
      <c r="G2065">
        <v>660</v>
      </c>
      <c r="H2065" s="114">
        <v>87020</v>
      </c>
      <c r="I2065" s="114">
        <v>91480</v>
      </c>
      <c r="J2065" s="113"/>
    </row>
    <row r="2066" spans="4:10" x14ac:dyDescent="0.3">
      <c r="E2066">
        <v>1800</v>
      </c>
      <c r="F2066">
        <v>2200</v>
      </c>
      <c r="G2066">
        <v>660</v>
      </c>
      <c r="H2066" s="114">
        <v>76930</v>
      </c>
      <c r="I2066" s="114">
        <v>80980</v>
      </c>
      <c r="J2066" s="113"/>
    </row>
    <row r="2067" spans="4:10" x14ac:dyDescent="0.3">
      <c r="F2067">
        <v>2400</v>
      </c>
      <c r="G2067">
        <v>660</v>
      </c>
      <c r="H2067" s="114">
        <v>90550</v>
      </c>
      <c r="I2067" s="114">
        <v>95440</v>
      </c>
      <c r="J2067" s="113"/>
    </row>
    <row r="2068" spans="4:10" x14ac:dyDescent="0.3">
      <c r="E2068">
        <v>2000</v>
      </c>
      <c r="F2068">
        <v>2200</v>
      </c>
      <c r="G2068">
        <v>660</v>
      </c>
      <c r="H2068" s="114">
        <v>80500</v>
      </c>
      <c r="I2068" s="114">
        <v>84960</v>
      </c>
      <c r="J2068" s="113"/>
    </row>
    <row r="2069" spans="4:10" x14ac:dyDescent="0.3">
      <c r="F2069">
        <v>2400</v>
      </c>
      <c r="G2069">
        <v>660</v>
      </c>
      <c r="H2069" s="114">
        <v>94100</v>
      </c>
      <c r="I2069" s="114">
        <v>99420</v>
      </c>
      <c r="J2069" s="113"/>
    </row>
    <row r="2070" spans="4:10" x14ac:dyDescent="0.3">
      <c r="D2070" t="s">
        <v>384</v>
      </c>
      <c r="E2070">
        <v>1600</v>
      </c>
      <c r="F2070">
        <v>2200</v>
      </c>
      <c r="G2070">
        <v>660</v>
      </c>
      <c r="H2070" s="114">
        <v>73400</v>
      </c>
      <c r="I2070" s="114">
        <v>77020</v>
      </c>
      <c r="J2070" s="113"/>
    </row>
    <row r="2071" spans="4:10" x14ac:dyDescent="0.3">
      <c r="F2071">
        <v>2400</v>
      </c>
      <c r="G2071">
        <v>660</v>
      </c>
      <c r="H2071" s="114">
        <v>87020</v>
      </c>
      <c r="I2071" s="114">
        <v>91480</v>
      </c>
      <c r="J2071" s="113"/>
    </row>
    <row r="2072" spans="4:10" x14ac:dyDescent="0.3">
      <c r="E2072">
        <v>1800</v>
      </c>
      <c r="F2072">
        <v>2200</v>
      </c>
      <c r="G2072">
        <v>660</v>
      </c>
      <c r="H2072" s="114">
        <v>76930</v>
      </c>
      <c r="I2072" s="114">
        <v>80980</v>
      </c>
      <c r="J2072" s="113"/>
    </row>
    <row r="2073" spans="4:10" x14ac:dyDescent="0.3">
      <c r="F2073">
        <v>2400</v>
      </c>
      <c r="G2073">
        <v>660</v>
      </c>
      <c r="H2073" s="114">
        <v>90550</v>
      </c>
      <c r="I2073" s="114">
        <v>95440</v>
      </c>
      <c r="J2073" s="113"/>
    </row>
    <row r="2074" spans="4:10" x14ac:dyDescent="0.3">
      <c r="E2074">
        <v>2000</v>
      </c>
      <c r="F2074">
        <v>2200</v>
      </c>
      <c r="G2074">
        <v>660</v>
      </c>
      <c r="H2074" s="114">
        <v>80500</v>
      </c>
      <c r="I2074" s="114">
        <v>84960</v>
      </c>
      <c r="J2074" s="113"/>
    </row>
    <row r="2075" spans="4:10" x14ac:dyDescent="0.3">
      <c r="F2075">
        <v>2400</v>
      </c>
      <c r="G2075">
        <v>660</v>
      </c>
      <c r="H2075" s="114">
        <v>94100</v>
      </c>
      <c r="I2075" s="114">
        <v>99420</v>
      </c>
      <c r="J2075" s="113"/>
    </row>
    <row r="2076" spans="4:10" x14ac:dyDescent="0.3">
      <c r="D2076" t="s">
        <v>385</v>
      </c>
      <c r="E2076">
        <v>1600</v>
      </c>
      <c r="F2076">
        <v>2200</v>
      </c>
      <c r="G2076">
        <v>660</v>
      </c>
      <c r="H2076" s="114">
        <v>60500</v>
      </c>
      <c r="I2076" s="114">
        <v>64120</v>
      </c>
      <c r="J2076" s="113"/>
    </row>
    <row r="2077" spans="4:10" x14ac:dyDescent="0.3">
      <c r="F2077">
        <v>2400</v>
      </c>
      <c r="G2077">
        <v>660</v>
      </c>
      <c r="H2077" s="114">
        <v>70550</v>
      </c>
      <c r="I2077" s="114">
        <v>75010</v>
      </c>
      <c r="J2077" s="113"/>
    </row>
    <row r="2078" spans="4:10" x14ac:dyDescent="0.3">
      <c r="E2078">
        <v>1800</v>
      </c>
      <c r="F2078">
        <v>2200</v>
      </c>
      <c r="G2078">
        <v>660</v>
      </c>
      <c r="H2078" s="114">
        <v>64030</v>
      </c>
      <c r="I2078" s="114">
        <v>68080</v>
      </c>
      <c r="J2078" s="113"/>
    </row>
    <row r="2079" spans="4:10" x14ac:dyDescent="0.3">
      <c r="F2079">
        <v>2400</v>
      </c>
      <c r="G2079">
        <v>660</v>
      </c>
      <c r="H2079" s="114">
        <v>74080</v>
      </c>
      <c r="I2079" s="114">
        <v>78970</v>
      </c>
      <c r="J2079" s="113"/>
    </row>
    <row r="2080" spans="4:10" x14ac:dyDescent="0.3">
      <c r="E2080">
        <v>2000</v>
      </c>
      <c r="F2080">
        <v>2200</v>
      </c>
      <c r="G2080">
        <v>660</v>
      </c>
      <c r="H2080" s="114">
        <v>67600</v>
      </c>
      <c r="I2080" s="114">
        <v>72060</v>
      </c>
      <c r="J2080" s="113"/>
    </row>
    <row r="2081" spans="4:10" x14ac:dyDescent="0.3">
      <c r="F2081">
        <v>2400</v>
      </c>
      <c r="G2081">
        <v>660</v>
      </c>
      <c r="H2081" s="114">
        <v>77630</v>
      </c>
      <c r="I2081" s="114">
        <v>82950</v>
      </c>
      <c r="J2081" s="113"/>
    </row>
    <row r="2082" spans="4:10" x14ac:dyDescent="0.3">
      <c r="D2082" t="s">
        <v>386</v>
      </c>
      <c r="E2082">
        <v>1600</v>
      </c>
      <c r="F2082">
        <v>2200</v>
      </c>
      <c r="G2082">
        <v>660</v>
      </c>
      <c r="H2082" s="114">
        <v>55030</v>
      </c>
      <c r="I2082" s="114">
        <v>58650</v>
      </c>
      <c r="J2082" s="113"/>
    </row>
    <row r="2083" spans="4:10" x14ac:dyDescent="0.3">
      <c r="F2083">
        <v>2400</v>
      </c>
      <c r="G2083">
        <v>660</v>
      </c>
      <c r="H2083" s="114">
        <v>63750</v>
      </c>
      <c r="I2083" s="114">
        <v>68210</v>
      </c>
      <c r="J2083" s="113"/>
    </row>
    <row r="2084" spans="4:10" x14ac:dyDescent="0.3">
      <c r="E2084">
        <v>1800</v>
      </c>
      <c r="F2084">
        <v>2200</v>
      </c>
      <c r="G2084">
        <v>660</v>
      </c>
      <c r="H2084" s="114">
        <v>58560</v>
      </c>
      <c r="I2084" s="114">
        <v>62610</v>
      </c>
      <c r="J2084" s="113"/>
    </row>
    <row r="2085" spans="4:10" x14ac:dyDescent="0.3">
      <c r="F2085">
        <v>2400</v>
      </c>
      <c r="G2085">
        <v>660</v>
      </c>
      <c r="H2085" s="114">
        <v>67280</v>
      </c>
      <c r="I2085" s="114">
        <v>72170</v>
      </c>
      <c r="J2085" s="113"/>
    </row>
    <row r="2086" spans="4:10" x14ac:dyDescent="0.3">
      <c r="E2086">
        <v>2000</v>
      </c>
      <c r="F2086">
        <v>2200</v>
      </c>
      <c r="G2086">
        <v>660</v>
      </c>
      <c r="H2086" s="114">
        <v>62130</v>
      </c>
      <c r="I2086" s="114">
        <v>66590</v>
      </c>
      <c r="J2086" s="113"/>
    </row>
    <row r="2087" spans="4:10" x14ac:dyDescent="0.3">
      <c r="F2087">
        <v>2400</v>
      </c>
      <c r="G2087">
        <v>660</v>
      </c>
      <c r="H2087" s="114">
        <v>70830</v>
      </c>
      <c r="I2087" s="114">
        <v>76150</v>
      </c>
      <c r="J2087" s="113"/>
    </row>
    <row r="2088" spans="4:10" x14ac:dyDescent="0.3">
      <c r="D2088" t="s">
        <v>387</v>
      </c>
      <c r="E2088">
        <v>1600</v>
      </c>
      <c r="F2088">
        <v>2200</v>
      </c>
      <c r="G2088">
        <v>660</v>
      </c>
      <c r="H2088" s="114">
        <v>52370</v>
      </c>
      <c r="I2088" s="114">
        <v>56310</v>
      </c>
      <c r="J2088" s="113"/>
    </row>
    <row r="2089" spans="4:10" x14ac:dyDescent="0.3">
      <c r="F2089">
        <v>2400</v>
      </c>
      <c r="G2089">
        <v>660</v>
      </c>
      <c r="H2089" s="114">
        <v>60790</v>
      </c>
      <c r="I2089" s="114">
        <v>65570</v>
      </c>
      <c r="J2089" s="113"/>
    </row>
    <row r="2090" spans="4:10" x14ac:dyDescent="0.3">
      <c r="E2090">
        <v>1800</v>
      </c>
      <c r="F2090">
        <v>2200</v>
      </c>
      <c r="G2090">
        <v>660</v>
      </c>
      <c r="H2090" s="114">
        <v>55900</v>
      </c>
      <c r="I2090" s="114">
        <v>60270</v>
      </c>
      <c r="J2090" s="113"/>
    </row>
    <row r="2091" spans="4:10" x14ac:dyDescent="0.3">
      <c r="F2091">
        <v>2400</v>
      </c>
      <c r="G2091">
        <v>660</v>
      </c>
      <c r="H2091" s="114">
        <v>64320</v>
      </c>
      <c r="I2091" s="114">
        <v>69530</v>
      </c>
      <c r="J2091" s="113"/>
    </row>
    <row r="2092" spans="4:10" x14ac:dyDescent="0.3">
      <c r="E2092">
        <v>2000</v>
      </c>
      <c r="F2092">
        <v>2200</v>
      </c>
      <c r="G2092">
        <v>660</v>
      </c>
      <c r="H2092" s="114">
        <v>59470</v>
      </c>
      <c r="I2092" s="114">
        <v>64250</v>
      </c>
      <c r="J2092" s="113"/>
    </row>
    <row r="2093" spans="4:10" x14ac:dyDescent="0.3">
      <c r="F2093">
        <v>2400</v>
      </c>
      <c r="G2093">
        <v>660</v>
      </c>
      <c r="H2093" s="114">
        <v>67870</v>
      </c>
      <c r="I2093" s="114">
        <v>73510</v>
      </c>
      <c r="J2093" s="113"/>
    </row>
    <row r="2094" spans="4:10" x14ac:dyDescent="0.3">
      <c r="D2094" t="s">
        <v>388</v>
      </c>
      <c r="E2094">
        <v>1600</v>
      </c>
      <c r="F2094">
        <v>2200</v>
      </c>
      <c r="G2094">
        <v>660</v>
      </c>
      <c r="H2094" s="114">
        <v>60500</v>
      </c>
      <c r="I2094" s="114">
        <v>64120</v>
      </c>
      <c r="J2094" s="113"/>
    </row>
    <row r="2095" spans="4:10" x14ac:dyDescent="0.3">
      <c r="F2095">
        <v>2400</v>
      </c>
      <c r="G2095">
        <v>660</v>
      </c>
      <c r="H2095" s="114">
        <v>70550</v>
      </c>
      <c r="I2095" s="114">
        <v>75010</v>
      </c>
      <c r="J2095" s="113"/>
    </row>
    <row r="2096" spans="4:10" x14ac:dyDescent="0.3">
      <c r="E2096">
        <v>1800</v>
      </c>
      <c r="F2096">
        <v>2200</v>
      </c>
      <c r="G2096">
        <v>660</v>
      </c>
      <c r="H2096" s="114">
        <v>64030</v>
      </c>
      <c r="I2096" s="114">
        <v>68080</v>
      </c>
      <c r="J2096" s="113"/>
    </row>
    <row r="2097" spans="4:10" x14ac:dyDescent="0.3">
      <c r="F2097">
        <v>2400</v>
      </c>
      <c r="G2097">
        <v>660</v>
      </c>
      <c r="H2097" s="114">
        <v>74080</v>
      </c>
      <c r="I2097" s="114">
        <v>78970</v>
      </c>
      <c r="J2097" s="113"/>
    </row>
    <row r="2098" spans="4:10" x14ac:dyDescent="0.3">
      <c r="E2098">
        <v>2000</v>
      </c>
      <c r="F2098">
        <v>2200</v>
      </c>
      <c r="G2098">
        <v>660</v>
      </c>
      <c r="H2098" s="114">
        <v>67600</v>
      </c>
      <c r="I2098" s="114">
        <v>72060</v>
      </c>
      <c r="J2098" s="113"/>
    </row>
    <row r="2099" spans="4:10" x14ac:dyDescent="0.3">
      <c r="F2099">
        <v>2400</v>
      </c>
      <c r="G2099">
        <v>660</v>
      </c>
      <c r="H2099" s="114">
        <v>77630</v>
      </c>
      <c r="I2099" s="114">
        <v>82950</v>
      </c>
      <c r="J2099" s="113"/>
    </row>
    <row r="2100" spans="4:10" x14ac:dyDescent="0.3">
      <c r="D2100" t="s">
        <v>389</v>
      </c>
      <c r="E2100">
        <v>1600</v>
      </c>
      <c r="F2100">
        <v>2200</v>
      </c>
      <c r="G2100">
        <v>660</v>
      </c>
      <c r="H2100" s="114">
        <v>60500</v>
      </c>
      <c r="I2100" s="114">
        <v>64120</v>
      </c>
      <c r="J2100" s="113"/>
    </row>
    <row r="2101" spans="4:10" x14ac:dyDescent="0.3">
      <c r="F2101">
        <v>2400</v>
      </c>
      <c r="G2101">
        <v>660</v>
      </c>
      <c r="H2101" s="114">
        <v>70550</v>
      </c>
      <c r="I2101" s="114">
        <v>75010</v>
      </c>
      <c r="J2101" s="113"/>
    </row>
    <row r="2102" spans="4:10" x14ac:dyDescent="0.3">
      <c r="E2102">
        <v>1800</v>
      </c>
      <c r="F2102">
        <v>2200</v>
      </c>
      <c r="G2102">
        <v>660</v>
      </c>
      <c r="H2102" s="114">
        <v>64030</v>
      </c>
      <c r="I2102" s="114">
        <v>68080</v>
      </c>
      <c r="J2102" s="113"/>
    </row>
    <row r="2103" spans="4:10" x14ac:dyDescent="0.3">
      <c r="F2103">
        <v>2400</v>
      </c>
      <c r="G2103">
        <v>660</v>
      </c>
      <c r="H2103" s="114">
        <v>74080</v>
      </c>
      <c r="I2103" s="114">
        <v>78970</v>
      </c>
      <c r="J2103" s="113"/>
    </row>
    <row r="2104" spans="4:10" x14ac:dyDescent="0.3">
      <c r="E2104">
        <v>2000</v>
      </c>
      <c r="F2104">
        <v>2200</v>
      </c>
      <c r="G2104">
        <v>660</v>
      </c>
      <c r="H2104" s="114">
        <v>67600</v>
      </c>
      <c r="I2104" s="114">
        <v>72060</v>
      </c>
      <c r="J2104" s="113"/>
    </row>
    <row r="2105" spans="4:10" x14ac:dyDescent="0.3">
      <c r="F2105">
        <v>2400</v>
      </c>
      <c r="G2105">
        <v>660</v>
      </c>
      <c r="H2105" s="114">
        <v>77630</v>
      </c>
      <c r="I2105" s="114">
        <v>82950</v>
      </c>
      <c r="J2105" s="113"/>
    </row>
    <row r="2106" spans="4:10" x14ac:dyDescent="0.3">
      <c r="D2106" t="s">
        <v>390</v>
      </c>
      <c r="E2106">
        <v>1600</v>
      </c>
      <c r="F2106">
        <v>2200</v>
      </c>
      <c r="G2106">
        <v>660</v>
      </c>
      <c r="H2106" s="114">
        <v>60500</v>
      </c>
      <c r="I2106" s="114">
        <v>64120</v>
      </c>
      <c r="J2106" s="113"/>
    </row>
    <row r="2107" spans="4:10" x14ac:dyDescent="0.3">
      <c r="F2107">
        <v>2400</v>
      </c>
      <c r="G2107">
        <v>660</v>
      </c>
      <c r="H2107" s="114">
        <v>70550</v>
      </c>
      <c r="I2107" s="114">
        <v>75010</v>
      </c>
      <c r="J2107" s="113"/>
    </row>
    <row r="2108" spans="4:10" x14ac:dyDescent="0.3">
      <c r="E2108">
        <v>1800</v>
      </c>
      <c r="F2108">
        <v>2200</v>
      </c>
      <c r="G2108">
        <v>660</v>
      </c>
      <c r="H2108" s="114">
        <v>64030</v>
      </c>
      <c r="I2108" s="114">
        <v>68080</v>
      </c>
      <c r="J2108" s="113"/>
    </row>
    <row r="2109" spans="4:10" x14ac:dyDescent="0.3">
      <c r="F2109">
        <v>2400</v>
      </c>
      <c r="G2109">
        <v>660</v>
      </c>
      <c r="H2109" s="114">
        <v>74080</v>
      </c>
      <c r="I2109" s="114">
        <v>78970</v>
      </c>
      <c r="J2109" s="113"/>
    </row>
    <row r="2110" spans="4:10" x14ac:dyDescent="0.3">
      <c r="E2110">
        <v>2000</v>
      </c>
      <c r="F2110">
        <v>2200</v>
      </c>
      <c r="G2110">
        <v>660</v>
      </c>
      <c r="H2110" s="114">
        <v>67600</v>
      </c>
      <c r="I2110" s="114">
        <v>72060</v>
      </c>
      <c r="J2110" s="113"/>
    </row>
    <row r="2111" spans="4:10" x14ac:dyDescent="0.3">
      <c r="F2111">
        <v>2400</v>
      </c>
      <c r="G2111">
        <v>660</v>
      </c>
      <c r="H2111" s="114">
        <v>77630</v>
      </c>
      <c r="I2111" s="114">
        <v>82950</v>
      </c>
      <c r="J2111" s="113"/>
    </row>
    <row r="2112" spans="4:10" x14ac:dyDescent="0.3">
      <c r="D2112" t="s">
        <v>391</v>
      </c>
      <c r="E2112">
        <v>1600</v>
      </c>
      <c r="F2112">
        <v>2200</v>
      </c>
      <c r="G2112">
        <v>660</v>
      </c>
      <c r="H2112" s="114">
        <v>56200</v>
      </c>
      <c r="I2112" s="114">
        <v>59820</v>
      </c>
      <c r="J2112" s="113"/>
    </row>
    <row r="2113" spans="4:10" x14ac:dyDescent="0.3">
      <c r="F2113">
        <v>2400</v>
      </c>
      <c r="G2113">
        <v>660</v>
      </c>
      <c r="H2113" s="114">
        <v>65060</v>
      </c>
      <c r="I2113" s="114">
        <v>69520</v>
      </c>
      <c r="J2113" s="113"/>
    </row>
    <row r="2114" spans="4:10" x14ac:dyDescent="0.3">
      <c r="E2114">
        <v>1800</v>
      </c>
      <c r="F2114">
        <v>2200</v>
      </c>
      <c r="G2114">
        <v>660</v>
      </c>
      <c r="H2114" s="114">
        <v>59730</v>
      </c>
      <c r="I2114" s="114">
        <v>63780</v>
      </c>
      <c r="J2114" s="113"/>
    </row>
    <row r="2115" spans="4:10" x14ac:dyDescent="0.3">
      <c r="F2115">
        <v>2400</v>
      </c>
      <c r="G2115">
        <v>660</v>
      </c>
      <c r="H2115" s="114">
        <v>68590</v>
      </c>
      <c r="I2115" s="114">
        <v>73480</v>
      </c>
      <c r="J2115" s="113"/>
    </row>
    <row r="2116" spans="4:10" x14ac:dyDescent="0.3">
      <c r="E2116">
        <v>2000</v>
      </c>
      <c r="F2116">
        <v>2200</v>
      </c>
      <c r="G2116">
        <v>660</v>
      </c>
      <c r="H2116" s="114">
        <v>63300</v>
      </c>
      <c r="I2116" s="114">
        <v>67760</v>
      </c>
      <c r="J2116" s="113"/>
    </row>
    <row r="2117" spans="4:10" x14ac:dyDescent="0.3">
      <c r="F2117">
        <v>2400</v>
      </c>
      <c r="G2117">
        <v>660</v>
      </c>
      <c r="H2117" s="114">
        <v>72140</v>
      </c>
      <c r="I2117" s="114">
        <v>77460</v>
      </c>
      <c r="J2117" s="113"/>
    </row>
    <row r="2118" spans="4:10" x14ac:dyDescent="0.3">
      <c r="D2118" t="s">
        <v>392</v>
      </c>
      <c r="E2118">
        <v>1600</v>
      </c>
      <c r="F2118">
        <v>2200</v>
      </c>
      <c r="G2118">
        <v>660</v>
      </c>
      <c r="H2118" s="114">
        <v>69100</v>
      </c>
      <c r="I2118" s="114">
        <v>72720</v>
      </c>
      <c r="J2118" s="113"/>
    </row>
    <row r="2119" spans="4:10" x14ac:dyDescent="0.3">
      <c r="F2119">
        <v>2400</v>
      </c>
      <c r="G2119">
        <v>660</v>
      </c>
      <c r="H2119" s="114">
        <v>81530</v>
      </c>
      <c r="I2119" s="114">
        <v>85990</v>
      </c>
      <c r="J2119" s="113"/>
    </row>
    <row r="2120" spans="4:10" x14ac:dyDescent="0.3">
      <c r="E2120">
        <v>1800</v>
      </c>
      <c r="F2120">
        <v>2200</v>
      </c>
      <c r="G2120">
        <v>660</v>
      </c>
      <c r="H2120" s="114">
        <v>72630</v>
      </c>
      <c r="I2120" s="114">
        <v>76680</v>
      </c>
      <c r="J2120" s="113"/>
    </row>
    <row r="2121" spans="4:10" x14ac:dyDescent="0.3">
      <c r="F2121">
        <v>2400</v>
      </c>
      <c r="G2121">
        <v>660</v>
      </c>
      <c r="H2121" s="114">
        <v>85060</v>
      </c>
      <c r="I2121" s="114">
        <v>89950</v>
      </c>
      <c r="J2121" s="113"/>
    </row>
    <row r="2122" spans="4:10" x14ac:dyDescent="0.3">
      <c r="E2122">
        <v>2000</v>
      </c>
      <c r="F2122">
        <v>2200</v>
      </c>
      <c r="G2122">
        <v>660</v>
      </c>
      <c r="H2122" s="114">
        <v>76200</v>
      </c>
      <c r="I2122" s="114">
        <v>80660</v>
      </c>
      <c r="J2122" s="113"/>
    </row>
    <row r="2123" spans="4:10" x14ac:dyDescent="0.3">
      <c r="F2123">
        <v>2400</v>
      </c>
      <c r="G2123">
        <v>660</v>
      </c>
      <c r="H2123" s="114">
        <v>88610</v>
      </c>
      <c r="I2123" s="114">
        <v>93930</v>
      </c>
      <c r="J2123" s="113"/>
    </row>
    <row r="2124" spans="4:10" x14ac:dyDescent="0.3">
      <c r="D2124" t="s">
        <v>393</v>
      </c>
      <c r="E2124">
        <v>1600</v>
      </c>
      <c r="F2124">
        <v>2200</v>
      </c>
      <c r="G2124">
        <v>660</v>
      </c>
      <c r="H2124" s="114">
        <v>67930</v>
      </c>
      <c r="I2124" s="114">
        <v>71550</v>
      </c>
      <c r="J2124" s="113"/>
    </row>
    <row r="2125" spans="4:10" x14ac:dyDescent="0.3">
      <c r="F2125">
        <v>2400</v>
      </c>
      <c r="G2125">
        <v>660</v>
      </c>
      <c r="H2125" s="114">
        <v>80220</v>
      </c>
      <c r="I2125" s="114">
        <v>84680</v>
      </c>
      <c r="J2125" s="113"/>
    </row>
    <row r="2126" spans="4:10" x14ac:dyDescent="0.3">
      <c r="E2126">
        <v>1800</v>
      </c>
      <c r="F2126">
        <v>2200</v>
      </c>
      <c r="G2126">
        <v>660</v>
      </c>
      <c r="H2126" s="114">
        <v>71460</v>
      </c>
      <c r="I2126" s="114">
        <v>75510</v>
      </c>
      <c r="J2126" s="113"/>
    </row>
    <row r="2127" spans="4:10" x14ac:dyDescent="0.3">
      <c r="F2127">
        <v>2400</v>
      </c>
      <c r="G2127">
        <v>660</v>
      </c>
      <c r="H2127" s="114">
        <v>83750</v>
      </c>
      <c r="I2127" s="114">
        <v>88640</v>
      </c>
      <c r="J2127" s="113"/>
    </row>
    <row r="2128" spans="4:10" x14ac:dyDescent="0.3">
      <c r="E2128">
        <v>2000</v>
      </c>
      <c r="F2128">
        <v>2200</v>
      </c>
      <c r="G2128">
        <v>660</v>
      </c>
      <c r="H2128" s="114">
        <v>75030</v>
      </c>
      <c r="I2128" s="114">
        <v>79490</v>
      </c>
      <c r="J2128" s="113"/>
    </row>
    <row r="2129" spans="4:10" x14ac:dyDescent="0.3">
      <c r="F2129">
        <v>2400</v>
      </c>
      <c r="G2129">
        <v>660</v>
      </c>
      <c r="H2129" s="114">
        <v>87300</v>
      </c>
      <c r="I2129" s="114">
        <v>92620</v>
      </c>
      <c r="J2129" s="113"/>
    </row>
    <row r="2130" spans="4:10" x14ac:dyDescent="0.3">
      <c r="D2130" t="s">
        <v>394</v>
      </c>
      <c r="E2130">
        <v>1600</v>
      </c>
      <c r="F2130">
        <v>2200</v>
      </c>
      <c r="G2130">
        <v>660</v>
      </c>
      <c r="H2130" s="114">
        <v>65270</v>
      </c>
      <c r="I2130" s="114">
        <v>69210</v>
      </c>
      <c r="J2130" s="113"/>
    </row>
    <row r="2131" spans="4:10" x14ac:dyDescent="0.3">
      <c r="F2131">
        <v>2400</v>
      </c>
      <c r="G2131">
        <v>660</v>
      </c>
      <c r="H2131" s="114">
        <v>77260</v>
      </c>
      <c r="I2131" s="114">
        <v>82040</v>
      </c>
      <c r="J2131" s="113"/>
    </row>
    <row r="2132" spans="4:10" x14ac:dyDescent="0.3">
      <c r="E2132">
        <v>1800</v>
      </c>
      <c r="F2132">
        <v>2200</v>
      </c>
      <c r="G2132">
        <v>660</v>
      </c>
      <c r="H2132" s="114">
        <v>68800</v>
      </c>
      <c r="I2132" s="114">
        <v>73170</v>
      </c>
      <c r="J2132" s="113"/>
    </row>
    <row r="2133" spans="4:10" x14ac:dyDescent="0.3">
      <c r="F2133">
        <v>2400</v>
      </c>
      <c r="G2133">
        <v>660</v>
      </c>
      <c r="H2133" s="114">
        <v>80790</v>
      </c>
      <c r="I2133" s="114">
        <v>86000</v>
      </c>
      <c r="J2133" s="113"/>
    </row>
    <row r="2134" spans="4:10" x14ac:dyDescent="0.3">
      <c r="E2134">
        <v>2000</v>
      </c>
      <c r="F2134">
        <v>2200</v>
      </c>
      <c r="G2134">
        <v>660</v>
      </c>
      <c r="H2134" s="114">
        <v>72370</v>
      </c>
      <c r="I2134" s="114">
        <v>77150</v>
      </c>
      <c r="J2134" s="113"/>
    </row>
    <row r="2135" spans="4:10" x14ac:dyDescent="0.3">
      <c r="F2135">
        <v>2400</v>
      </c>
      <c r="G2135">
        <v>660</v>
      </c>
      <c r="H2135" s="114">
        <v>84340</v>
      </c>
      <c r="I2135" s="114">
        <v>89980</v>
      </c>
      <c r="J2135" s="113"/>
    </row>
    <row r="2136" spans="4:10" x14ac:dyDescent="0.3">
      <c r="D2136" t="s">
        <v>395</v>
      </c>
      <c r="E2136">
        <v>1600</v>
      </c>
      <c r="F2136">
        <v>2200</v>
      </c>
      <c r="G2136">
        <v>660</v>
      </c>
      <c r="H2136" s="114">
        <v>73400</v>
      </c>
      <c r="I2136" s="114">
        <v>77020</v>
      </c>
      <c r="J2136" s="113"/>
    </row>
    <row r="2137" spans="4:10" x14ac:dyDescent="0.3">
      <c r="F2137">
        <v>2400</v>
      </c>
      <c r="G2137">
        <v>660</v>
      </c>
      <c r="H2137" s="114">
        <v>87020</v>
      </c>
      <c r="I2137" s="114">
        <v>91480</v>
      </c>
      <c r="J2137" s="113"/>
    </row>
    <row r="2138" spans="4:10" x14ac:dyDescent="0.3">
      <c r="E2138">
        <v>1800</v>
      </c>
      <c r="F2138">
        <v>2200</v>
      </c>
      <c r="G2138">
        <v>660</v>
      </c>
      <c r="H2138" s="114">
        <v>76930</v>
      </c>
      <c r="I2138" s="114">
        <v>80980</v>
      </c>
      <c r="J2138" s="113"/>
    </row>
    <row r="2139" spans="4:10" x14ac:dyDescent="0.3">
      <c r="F2139">
        <v>2400</v>
      </c>
      <c r="G2139">
        <v>660</v>
      </c>
      <c r="H2139" s="114">
        <v>90550</v>
      </c>
      <c r="I2139" s="114">
        <v>95440</v>
      </c>
      <c r="J2139" s="113"/>
    </row>
    <row r="2140" spans="4:10" x14ac:dyDescent="0.3">
      <c r="E2140">
        <v>2000</v>
      </c>
      <c r="F2140">
        <v>2200</v>
      </c>
      <c r="G2140">
        <v>660</v>
      </c>
      <c r="H2140" s="114">
        <v>80500</v>
      </c>
      <c r="I2140" s="114">
        <v>84960</v>
      </c>
      <c r="J2140" s="113"/>
    </row>
    <row r="2141" spans="4:10" x14ac:dyDescent="0.3">
      <c r="F2141">
        <v>2400</v>
      </c>
      <c r="G2141">
        <v>660</v>
      </c>
      <c r="H2141" s="114">
        <v>94100</v>
      </c>
      <c r="I2141" s="114">
        <v>99420</v>
      </c>
      <c r="J2141" s="113"/>
    </row>
    <row r="2142" spans="4:10" x14ac:dyDescent="0.3">
      <c r="D2142" t="s">
        <v>396</v>
      </c>
      <c r="E2142">
        <v>1600</v>
      </c>
      <c r="F2142">
        <v>2200</v>
      </c>
      <c r="G2142">
        <v>660</v>
      </c>
      <c r="H2142" s="114">
        <v>73400</v>
      </c>
      <c r="I2142" s="114">
        <v>77020</v>
      </c>
      <c r="J2142" s="113"/>
    </row>
    <row r="2143" spans="4:10" x14ac:dyDescent="0.3">
      <c r="F2143">
        <v>2400</v>
      </c>
      <c r="G2143">
        <v>660</v>
      </c>
      <c r="H2143" s="114">
        <v>87020</v>
      </c>
      <c r="I2143" s="114">
        <v>91480</v>
      </c>
      <c r="J2143" s="113"/>
    </row>
    <row r="2144" spans="4:10" x14ac:dyDescent="0.3">
      <c r="E2144">
        <v>1800</v>
      </c>
      <c r="F2144">
        <v>2200</v>
      </c>
      <c r="G2144">
        <v>660</v>
      </c>
      <c r="H2144" s="114">
        <v>76930</v>
      </c>
      <c r="I2144" s="114">
        <v>80980</v>
      </c>
      <c r="J2144" s="113"/>
    </row>
    <row r="2145" spans="4:10" x14ac:dyDescent="0.3">
      <c r="F2145">
        <v>2400</v>
      </c>
      <c r="G2145">
        <v>660</v>
      </c>
      <c r="H2145" s="114">
        <v>90550</v>
      </c>
      <c r="I2145" s="114">
        <v>95440</v>
      </c>
      <c r="J2145" s="113"/>
    </row>
    <row r="2146" spans="4:10" x14ac:dyDescent="0.3">
      <c r="E2146">
        <v>2000</v>
      </c>
      <c r="F2146">
        <v>2200</v>
      </c>
      <c r="G2146">
        <v>660</v>
      </c>
      <c r="H2146" s="114">
        <v>80500</v>
      </c>
      <c r="I2146" s="114">
        <v>84960</v>
      </c>
      <c r="J2146" s="113"/>
    </row>
    <row r="2147" spans="4:10" x14ac:dyDescent="0.3">
      <c r="F2147">
        <v>2400</v>
      </c>
      <c r="G2147">
        <v>660</v>
      </c>
      <c r="H2147" s="114">
        <v>94100</v>
      </c>
      <c r="I2147" s="114">
        <v>99420</v>
      </c>
      <c r="J2147" s="113"/>
    </row>
    <row r="2148" spans="4:10" x14ac:dyDescent="0.3">
      <c r="D2148" t="s">
        <v>397</v>
      </c>
      <c r="E2148">
        <v>1600</v>
      </c>
      <c r="F2148">
        <v>2200</v>
      </c>
      <c r="G2148">
        <v>660</v>
      </c>
      <c r="H2148" s="114">
        <v>73400</v>
      </c>
      <c r="I2148" s="114">
        <v>77020</v>
      </c>
      <c r="J2148" s="113"/>
    </row>
    <row r="2149" spans="4:10" x14ac:dyDescent="0.3">
      <c r="F2149">
        <v>2400</v>
      </c>
      <c r="G2149">
        <v>660</v>
      </c>
      <c r="H2149" s="114">
        <v>87020</v>
      </c>
      <c r="I2149" s="114">
        <v>91480</v>
      </c>
      <c r="J2149" s="113"/>
    </row>
    <row r="2150" spans="4:10" x14ac:dyDescent="0.3">
      <c r="E2150">
        <v>1800</v>
      </c>
      <c r="F2150">
        <v>2200</v>
      </c>
      <c r="G2150">
        <v>660</v>
      </c>
      <c r="H2150" s="114">
        <v>76930</v>
      </c>
      <c r="I2150" s="114">
        <v>80980</v>
      </c>
      <c r="J2150" s="113"/>
    </row>
    <row r="2151" spans="4:10" x14ac:dyDescent="0.3">
      <c r="F2151">
        <v>2400</v>
      </c>
      <c r="G2151">
        <v>660</v>
      </c>
      <c r="H2151" s="114">
        <v>90550</v>
      </c>
      <c r="I2151" s="114">
        <v>95440</v>
      </c>
      <c r="J2151" s="113"/>
    </row>
    <row r="2152" spans="4:10" x14ac:dyDescent="0.3">
      <c r="E2152">
        <v>2000</v>
      </c>
      <c r="F2152">
        <v>2200</v>
      </c>
      <c r="G2152">
        <v>660</v>
      </c>
      <c r="H2152" s="114">
        <v>80500</v>
      </c>
      <c r="I2152" s="114">
        <v>84960</v>
      </c>
      <c r="J2152" s="113"/>
    </row>
    <row r="2153" spans="4:10" x14ac:dyDescent="0.3">
      <c r="F2153">
        <v>2400</v>
      </c>
      <c r="G2153">
        <v>660</v>
      </c>
      <c r="H2153" s="114">
        <v>94100</v>
      </c>
      <c r="I2153" s="114">
        <v>99420</v>
      </c>
      <c r="J2153" s="113"/>
    </row>
    <row r="2154" spans="4:10" x14ac:dyDescent="0.3">
      <c r="D2154" t="s">
        <v>398</v>
      </c>
      <c r="E2154">
        <v>1600</v>
      </c>
      <c r="F2154">
        <v>2200</v>
      </c>
      <c r="G2154">
        <v>660</v>
      </c>
      <c r="H2154" s="114">
        <v>69100</v>
      </c>
      <c r="I2154" s="114">
        <v>72720</v>
      </c>
      <c r="J2154" s="113"/>
    </row>
    <row r="2155" spans="4:10" x14ac:dyDescent="0.3">
      <c r="F2155">
        <v>2400</v>
      </c>
      <c r="G2155">
        <v>660</v>
      </c>
      <c r="H2155" s="114">
        <v>81530</v>
      </c>
      <c r="I2155" s="114">
        <v>85990</v>
      </c>
      <c r="J2155" s="113"/>
    </row>
    <row r="2156" spans="4:10" x14ac:dyDescent="0.3">
      <c r="E2156">
        <v>1800</v>
      </c>
      <c r="F2156">
        <v>2200</v>
      </c>
      <c r="G2156">
        <v>660</v>
      </c>
      <c r="H2156" s="114">
        <v>72630</v>
      </c>
      <c r="I2156" s="114">
        <v>76680</v>
      </c>
      <c r="J2156" s="113"/>
    </row>
    <row r="2157" spans="4:10" x14ac:dyDescent="0.3">
      <c r="F2157">
        <v>2400</v>
      </c>
      <c r="G2157">
        <v>660</v>
      </c>
      <c r="H2157" s="114">
        <v>85060</v>
      </c>
      <c r="I2157" s="114">
        <v>89950</v>
      </c>
      <c r="J2157" s="113"/>
    </row>
    <row r="2158" spans="4:10" x14ac:dyDescent="0.3">
      <c r="E2158">
        <v>2000</v>
      </c>
      <c r="F2158">
        <v>2200</v>
      </c>
      <c r="G2158">
        <v>660</v>
      </c>
      <c r="H2158" s="114">
        <v>76200</v>
      </c>
      <c r="I2158" s="114">
        <v>80660</v>
      </c>
      <c r="J2158" s="113"/>
    </row>
    <row r="2159" spans="4:10" x14ac:dyDescent="0.3">
      <c r="F2159">
        <v>2400</v>
      </c>
      <c r="G2159">
        <v>660</v>
      </c>
      <c r="H2159" s="114">
        <v>88610</v>
      </c>
      <c r="I2159" s="114">
        <v>93930</v>
      </c>
      <c r="J2159" s="113"/>
    </row>
    <row r="2160" spans="4:10" x14ac:dyDescent="0.3">
      <c r="D2160" t="s">
        <v>399</v>
      </c>
      <c r="E2160">
        <v>1600</v>
      </c>
      <c r="F2160">
        <v>2200</v>
      </c>
      <c r="G2160">
        <v>660</v>
      </c>
      <c r="H2160" s="114">
        <v>56990</v>
      </c>
      <c r="I2160" s="114">
        <v>60610</v>
      </c>
      <c r="J2160" s="113"/>
    </row>
    <row r="2161" spans="4:10" x14ac:dyDescent="0.3">
      <c r="F2161">
        <v>2400</v>
      </c>
      <c r="G2161">
        <v>660</v>
      </c>
      <c r="H2161" s="114">
        <v>66620</v>
      </c>
      <c r="I2161" s="114">
        <v>71080</v>
      </c>
      <c r="J2161" s="113"/>
    </row>
    <row r="2162" spans="4:10" x14ac:dyDescent="0.3">
      <c r="E2162">
        <v>1800</v>
      </c>
      <c r="F2162">
        <v>2200</v>
      </c>
      <c r="G2162">
        <v>660</v>
      </c>
      <c r="H2162" s="114">
        <v>60520</v>
      </c>
      <c r="I2162" s="114">
        <v>64570</v>
      </c>
      <c r="J2162" s="113"/>
    </row>
    <row r="2163" spans="4:10" x14ac:dyDescent="0.3">
      <c r="F2163">
        <v>2400</v>
      </c>
      <c r="G2163">
        <v>660</v>
      </c>
      <c r="H2163" s="114">
        <v>70150</v>
      </c>
      <c r="I2163" s="114">
        <v>75040</v>
      </c>
      <c r="J2163" s="113"/>
    </row>
    <row r="2164" spans="4:10" x14ac:dyDescent="0.3">
      <c r="E2164">
        <v>2000</v>
      </c>
      <c r="F2164">
        <v>2200</v>
      </c>
      <c r="G2164">
        <v>660</v>
      </c>
      <c r="H2164" s="114">
        <v>64090</v>
      </c>
      <c r="I2164" s="114">
        <v>68550</v>
      </c>
      <c r="J2164" s="113"/>
    </row>
    <row r="2165" spans="4:10" x14ac:dyDescent="0.3">
      <c r="F2165">
        <v>2400</v>
      </c>
      <c r="G2165">
        <v>660</v>
      </c>
      <c r="H2165" s="114">
        <v>73700</v>
      </c>
      <c r="I2165" s="114">
        <v>79020</v>
      </c>
      <c r="J2165" s="113"/>
    </row>
    <row r="2166" spans="4:10" x14ac:dyDescent="0.3">
      <c r="D2166" t="s">
        <v>400</v>
      </c>
      <c r="E2166">
        <v>1600</v>
      </c>
      <c r="F2166">
        <v>2200</v>
      </c>
      <c r="G2166">
        <v>660</v>
      </c>
      <c r="H2166" s="114">
        <v>48860</v>
      </c>
      <c r="I2166" s="114">
        <v>52800</v>
      </c>
      <c r="J2166" s="113"/>
    </row>
    <row r="2167" spans="4:10" x14ac:dyDescent="0.3">
      <c r="F2167">
        <v>2400</v>
      </c>
      <c r="G2167">
        <v>660</v>
      </c>
      <c r="H2167" s="114">
        <v>56860</v>
      </c>
      <c r="I2167" s="114">
        <v>61640</v>
      </c>
      <c r="J2167" s="113"/>
    </row>
    <row r="2168" spans="4:10" x14ac:dyDescent="0.3">
      <c r="E2168">
        <v>1800</v>
      </c>
      <c r="F2168">
        <v>2200</v>
      </c>
      <c r="G2168">
        <v>660</v>
      </c>
      <c r="H2168" s="114">
        <v>52390</v>
      </c>
      <c r="I2168" s="114">
        <v>56760</v>
      </c>
      <c r="J2168" s="113"/>
    </row>
    <row r="2169" spans="4:10" x14ac:dyDescent="0.3">
      <c r="F2169">
        <v>2400</v>
      </c>
      <c r="G2169">
        <v>660</v>
      </c>
      <c r="H2169" s="114">
        <v>60390</v>
      </c>
      <c r="I2169" s="114">
        <v>65600</v>
      </c>
      <c r="J2169" s="113"/>
    </row>
    <row r="2170" spans="4:10" x14ac:dyDescent="0.3">
      <c r="E2170">
        <v>2000</v>
      </c>
      <c r="F2170">
        <v>2200</v>
      </c>
      <c r="G2170">
        <v>660</v>
      </c>
      <c r="H2170" s="114">
        <v>55960</v>
      </c>
      <c r="I2170" s="114">
        <v>60740</v>
      </c>
      <c r="J2170" s="113"/>
    </row>
    <row r="2171" spans="4:10" x14ac:dyDescent="0.3">
      <c r="F2171">
        <v>2400</v>
      </c>
      <c r="G2171">
        <v>660</v>
      </c>
      <c r="H2171" s="114">
        <v>63940</v>
      </c>
      <c r="I2171" s="114">
        <v>69580</v>
      </c>
      <c r="J2171" s="113"/>
    </row>
    <row r="2172" spans="4:10" x14ac:dyDescent="0.3">
      <c r="D2172" t="s">
        <v>401</v>
      </c>
      <c r="E2172">
        <v>1600</v>
      </c>
      <c r="F2172">
        <v>2200</v>
      </c>
      <c r="G2172">
        <v>660</v>
      </c>
      <c r="H2172" s="114">
        <v>56990</v>
      </c>
      <c r="I2172" s="114">
        <v>60610</v>
      </c>
      <c r="J2172" s="113"/>
    </row>
    <row r="2173" spans="4:10" x14ac:dyDescent="0.3">
      <c r="F2173">
        <v>2400</v>
      </c>
      <c r="G2173">
        <v>660</v>
      </c>
      <c r="H2173" s="114">
        <v>66620</v>
      </c>
      <c r="I2173" s="114">
        <v>71080</v>
      </c>
      <c r="J2173" s="113"/>
    </row>
    <row r="2174" spans="4:10" x14ac:dyDescent="0.3">
      <c r="E2174">
        <v>1800</v>
      </c>
      <c r="F2174">
        <v>2200</v>
      </c>
      <c r="G2174">
        <v>660</v>
      </c>
      <c r="H2174" s="114">
        <v>60520</v>
      </c>
      <c r="I2174" s="114">
        <v>64570</v>
      </c>
      <c r="J2174" s="113"/>
    </row>
    <row r="2175" spans="4:10" x14ac:dyDescent="0.3">
      <c r="F2175">
        <v>2400</v>
      </c>
      <c r="G2175">
        <v>660</v>
      </c>
      <c r="H2175" s="114">
        <v>70150</v>
      </c>
      <c r="I2175" s="114">
        <v>75040</v>
      </c>
      <c r="J2175" s="113"/>
    </row>
    <row r="2176" spans="4:10" x14ac:dyDescent="0.3">
      <c r="E2176">
        <v>2000</v>
      </c>
      <c r="F2176">
        <v>2200</v>
      </c>
      <c r="G2176">
        <v>660</v>
      </c>
      <c r="H2176" s="114">
        <v>64090</v>
      </c>
      <c r="I2176" s="114">
        <v>68550</v>
      </c>
      <c r="J2176" s="113"/>
    </row>
    <row r="2177" spans="4:10" x14ac:dyDescent="0.3">
      <c r="F2177">
        <v>2400</v>
      </c>
      <c r="G2177">
        <v>660</v>
      </c>
      <c r="H2177" s="114">
        <v>73700</v>
      </c>
      <c r="I2177" s="114">
        <v>79020</v>
      </c>
      <c r="J2177" s="113"/>
    </row>
    <row r="2178" spans="4:10" x14ac:dyDescent="0.3">
      <c r="D2178" t="s">
        <v>402</v>
      </c>
      <c r="E2178">
        <v>1600</v>
      </c>
      <c r="F2178">
        <v>2200</v>
      </c>
      <c r="G2178">
        <v>660</v>
      </c>
      <c r="H2178" s="114">
        <v>56990</v>
      </c>
      <c r="I2178" s="114">
        <v>60610</v>
      </c>
      <c r="J2178" s="113"/>
    </row>
    <row r="2179" spans="4:10" x14ac:dyDescent="0.3">
      <c r="F2179">
        <v>2400</v>
      </c>
      <c r="G2179">
        <v>660</v>
      </c>
      <c r="H2179" s="114">
        <v>66620</v>
      </c>
      <c r="I2179" s="114">
        <v>71080</v>
      </c>
      <c r="J2179" s="113"/>
    </row>
    <row r="2180" spans="4:10" x14ac:dyDescent="0.3">
      <c r="E2180">
        <v>1800</v>
      </c>
      <c r="F2180">
        <v>2200</v>
      </c>
      <c r="G2180">
        <v>660</v>
      </c>
      <c r="H2180" s="114">
        <v>60520</v>
      </c>
      <c r="I2180" s="114">
        <v>64570</v>
      </c>
      <c r="J2180" s="113"/>
    </row>
    <row r="2181" spans="4:10" x14ac:dyDescent="0.3">
      <c r="F2181">
        <v>2400</v>
      </c>
      <c r="G2181">
        <v>660</v>
      </c>
      <c r="H2181" s="114">
        <v>70150</v>
      </c>
      <c r="I2181" s="114">
        <v>75040</v>
      </c>
      <c r="J2181" s="113"/>
    </row>
    <row r="2182" spans="4:10" x14ac:dyDescent="0.3">
      <c r="E2182">
        <v>2000</v>
      </c>
      <c r="F2182">
        <v>2200</v>
      </c>
      <c r="G2182">
        <v>660</v>
      </c>
      <c r="H2182" s="114">
        <v>64090</v>
      </c>
      <c r="I2182" s="114">
        <v>68550</v>
      </c>
      <c r="J2182" s="113"/>
    </row>
    <row r="2183" spans="4:10" x14ac:dyDescent="0.3">
      <c r="F2183">
        <v>2400</v>
      </c>
      <c r="G2183">
        <v>660</v>
      </c>
      <c r="H2183" s="114">
        <v>73700</v>
      </c>
      <c r="I2183" s="114">
        <v>79020</v>
      </c>
      <c r="J2183" s="113"/>
    </row>
    <row r="2184" spans="4:10" x14ac:dyDescent="0.3">
      <c r="D2184" t="s">
        <v>403</v>
      </c>
      <c r="E2184">
        <v>1600</v>
      </c>
      <c r="F2184">
        <v>2200</v>
      </c>
      <c r="G2184">
        <v>660</v>
      </c>
      <c r="H2184" s="114">
        <v>56990</v>
      </c>
      <c r="I2184" s="114">
        <v>60610</v>
      </c>
      <c r="J2184" s="113"/>
    </row>
    <row r="2185" spans="4:10" x14ac:dyDescent="0.3">
      <c r="F2185">
        <v>2400</v>
      </c>
      <c r="G2185">
        <v>660</v>
      </c>
      <c r="H2185" s="114">
        <v>66620</v>
      </c>
      <c r="I2185" s="114">
        <v>71080</v>
      </c>
      <c r="J2185" s="113"/>
    </row>
    <row r="2186" spans="4:10" x14ac:dyDescent="0.3">
      <c r="E2186">
        <v>1800</v>
      </c>
      <c r="F2186">
        <v>2200</v>
      </c>
      <c r="G2186">
        <v>660</v>
      </c>
      <c r="H2186" s="114">
        <v>60520</v>
      </c>
      <c r="I2186" s="114">
        <v>64570</v>
      </c>
      <c r="J2186" s="113"/>
    </row>
    <row r="2187" spans="4:10" x14ac:dyDescent="0.3">
      <c r="F2187">
        <v>2400</v>
      </c>
      <c r="G2187">
        <v>660</v>
      </c>
      <c r="H2187" s="114">
        <v>70150</v>
      </c>
      <c r="I2187" s="114">
        <v>75040</v>
      </c>
      <c r="J2187" s="113"/>
    </row>
    <row r="2188" spans="4:10" x14ac:dyDescent="0.3">
      <c r="E2188">
        <v>2000</v>
      </c>
      <c r="F2188">
        <v>2200</v>
      </c>
      <c r="G2188">
        <v>660</v>
      </c>
      <c r="H2188" s="114">
        <v>64090</v>
      </c>
      <c r="I2188" s="114">
        <v>68550</v>
      </c>
      <c r="J2188" s="113"/>
    </row>
    <row r="2189" spans="4:10" x14ac:dyDescent="0.3">
      <c r="F2189">
        <v>2400</v>
      </c>
      <c r="G2189">
        <v>660</v>
      </c>
      <c r="H2189" s="114">
        <v>73700</v>
      </c>
      <c r="I2189" s="114">
        <v>79020</v>
      </c>
      <c r="J2189" s="113"/>
    </row>
    <row r="2190" spans="4:10" x14ac:dyDescent="0.3">
      <c r="D2190" t="s">
        <v>404</v>
      </c>
      <c r="E2190">
        <v>1600</v>
      </c>
      <c r="F2190">
        <v>2200</v>
      </c>
      <c r="G2190">
        <v>660</v>
      </c>
      <c r="H2190" s="114">
        <v>52690</v>
      </c>
      <c r="I2190" s="114">
        <v>56310</v>
      </c>
      <c r="J2190" s="113"/>
    </row>
    <row r="2191" spans="4:10" x14ac:dyDescent="0.3">
      <c r="F2191">
        <v>2400</v>
      </c>
      <c r="G2191">
        <v>660</v>
      </c>
      <c r="H2191" s="114">
        <v>61130</v>
      </c>
      <c r="I2191" s="114">
        <v>65590</v>
      </c>
      <c r="J2191" s="113"/>
    </row>
    <row r="2192" spans="4:10" x14ac:dyDescent="0.3">
      <c r="E2192">
        <v>1800</v>
      </c>
      <c r="F2192">
        <v>2200</v>
      </c>
      <c r="G2192">
        <v>660</v>
      </c>
      <c r="H2192" s="114">
        <v>56220</v>
      </c>
      <c r="I2192" s="114">
        <v>60270</v>
      </c>
      <c r="J2192" s="113"/>
    </row>
    <row r="2193" spans="4:10" x14ac:dyDescent="0.3">
      <c r="F2193">
        <v>2400</v>
      </c>
      <c r="G2193">
        <v>660</v>
      </c>
      <c r="H2193" s="114">
        <v>64660</v>
      </c>
      <c r="I2193" s="114">
        <v>69550</v>
      </c>
      <c r="J2193" s="113"/>
    </row>
    <row r="2194" spans="4:10" x14ac:dyDescent="0.3">
      <c r="E2194">
        <v>2000</v>
      </c>
      <c r="F2194">
        <v>2200</v>
      </c>
      <c r="G2194">
        <v>660</v>
      </c>
      <c r="H2194" s="114">
        <v>59790</v>
      </c>
      <c r="I2194" s="114">
        <v>64250</v>
      </c>
      <c r="J2194" s="113"/>
    </row>
    <row r="2195" spans="4:10" x14ac:dyDescent="0.3">
      <c r="F2195">
        <v>2400</v>
      </c>
      <c r="G2195">
        <v>660</v>
      </c>
      <c r="H2195" s="114">
        <v>68210</v>
      </c>
      <c r="I2195" s="114">
        <v>73530</v>
      </c>
      <c r="J2195" s="113"/>
    </row>
    <row r="2196" spans="4:10" x14ac:dyDescent="0.3">
      <c r="D2196" t="s">
        <v>405</v>
      </c>
      <c r="E2196">
        <v>1600</v>
      </c>
      <c r="F2196">
        <v>2200</v>
      </c>
      <c r="G2196">
        <v>660</v>
      </c>
      <c r="H2196" s="114">
        <v>52690</v>
      </c>
      <c r="I2196" s="114">
        <v>56310</v>
      </c>
      <c r="J2196" s="113"/>
    </row>
    <row r="2197" spans="4:10" x14ac:dyDescent="0.3">
      <c r="F2197">
        <v>2400</v>
      </c>
      <c r="G2197">
        <v>660</v>
      </c>
      <c r="H2197" s="114">
        <v>61130</v>
      </c>
      <c r="I2197" s="114">
        <v>65590</v>
      </c>
      <c r="J2197" s="113"/>
    </row>
    <row r="2198" spans="4:10" x14ac:dyDescent="0.3">
      <c r="E2198">
        <v>1800</v>
      </c>
      <c r="F2198">
        <v>2200</v>
      </c>
      <c r="G2198">
        <v>660</v>
      </c>
      <c r="H2198" s="114">
        <v>56220</v>
      </c>
      <c r="I2198" s="114">
        <v>60270</v>
      </c>
      <c r="J2198" s="113"/>
    </row>
    <row r="2199" spans="4:10" x14ac:dyDescent="0.3">
      <c r="F2199">
        <v>2400</v>
      </c>
      <c r="G2199">
        <v>660</v>
      </c>
      <c r="H2199" s="114">
        <v>64660</v>
      </c>
      <c r="I2199" s="114">
        <v>69550</v>
      </c>
      <c r="J2199" s="113"/>
    </row>
    <row r="2200" spans="4:10" x14ac:dyDescent="0.3">
      <c r="E2200">
        <v>2000</v>
      </c>
      <c r="F2200">
        <v>2200</v>
      </c>
      <c r="G2200">
        <v>660</v>
      </c>
      <c r="H2200" s="114">
        <v>59790</v>
      </c>
      <c r="I2200" s="114">
        <v>64250</v>
      </c>
      <c r="J2200" s="113"/>
    </row>
    <row r="2201" spans="4:10" x14ac:dyDescent="0.3">
      <c r="F2201">
        <v>2400</v>
      </c>
      <c r="G2201">
        <v>660</v>
      </c>
      <c r="H2201" s="114">
        <v>68210</v>
      </c>
      <c r="I2201" s="114">
        <v>73530</v>
      </c>
      <c r="J2201" s="113"/>
    </row>
    <row r="2202" spans="4:10" x14ac:dyDescent="0.3">
      <c r="D2202" t="s">
        <v>406</v>
      </c>
      <c r="E2202">
        <v>1600</v>
      </c>
      <c r="F2202">
        <v>2200</v>
      </c>
      <c r="G2202">
        <v>660</v>
      </c>
      <c r="H2202" s="114">
        <v>49010</v>
      </c>
      <c r="I2202" s="114">
        <v>53590</v>
      </c>
      <c r="J2202" s="113"/>
    </row>
    <row r="2203" spans="4:10" x14ac:dyDescent="0.3">
      <c r="F2203">
        <v>2400</v>
      </c>
      <c r="G2203">
        <v>660</v>
      </c>
      <c r="H2203" s="114">
        <v>57740</v>
      </c>
      <c r="I2203" s="114">
        <v>63160</v>
      </c>
      <c r="J2203" s="113"/>
    </row>
    <row r="2204" spans="4:10" x14ac:dyDescent="0.3">
      <c r="E2204">
        <v>1800</v>
      </c>
      <c r="F2204">
        <v>2200</v>
      </c>
      <c r="G2204">
        <v>660</v>
      </c>
      <c r="H2204" s="114">
        <v>52540</v>
      </c>
      <c r="I2204" s="114">
        <v>57550</v>
      </c>
      <c r="J2204" s="113"/>
    </row>
    <row r="2205" spans="4:10" x14ac:dyDescent="0.3">
      <c r="F2205">
        <v>2400</v>
      </c>
      <c r="G2205">
        <v>660</v>
      </c>
      <c r="H2205" s="114">
        <v>61270</v>
      </c>
      <c r="I2205" s="114">
        <v>67120</v>
      </c>
      <c r="J2205" s="113"/>
    </row>
    <row r="2206" spans="4:10" x14ac:dyDescent="0.3">
      <c r="E2206">
        <v>2000</v>
      </c>
      <c r="F2206">
        <v>2200</v>
      </c>
      <c r="G2206">
        <v>660</v>
      </c>
      <c r="H2206" s="114">
        <v>56110</v>
      </c>
      <c r="I2206" s="114">
        <v>61530</v>
      </c>
      <c r="J2206" s="113"/>
    </row>
    <row r="2207" spans="4:10" x14ac:dyDescent="0.3">
      <c r="F2207">
        <v>2400</v>
      </c>
      <c r="G2207">
        <v>660</v>
      </c>
      <c r="H2207" s="114">
        <v>64820</v>
      </c>
      <c r="I2207" s="114">
        <v>71100</v>
      </c>
      <c r="J2207" s="113"/>
    </row>
    <row r="2208" spans="4:10" x14ac:dyDescent="0.3">
      <c r="D2208" t="s">
        <v>407</v>
      </c>
      <c r="E2208">
        <v>1600</v>
      </c>
      <c r="F2208">
        <v>2200</v>
      </c>
      <c r="G2208">
        <v>660</v>
      </c>
      <c r="H2208" s="114">
        <v>43540</v>
      </c>
      <c r="I2208" s="114">
        <v>48120</v>
      </c>
      <c r="J2208" s="113"/>
    </row>
    <row r="2209" spans="4:10" x14ac:dyDescent="0.3">
      <c r="F2209">
        <v>2400</v>
      </c>
      <c r="G2209">
        <v>660</v>
      </c>
      <c r="H2209" s="114">
        <v>50940</v>
      </c>
      <c r="I2209" s="114">
        <v>56360</v>
      </c>
      <c r="J2209" s="113"/>
    </row>
    <row r="2210" spans="4:10" x14ac:dyDescent="0.3">
      <c r="E2210">
        <v>1800</v>
      </c>
      <c r="F2210">
        <v>2200</v>
      </c>
      <c r="G2210">
        <v>660</v>
      </c>
      <c r="H2210" s="114">
        <v>47070</v>
      </c>
      <c r="I2210" s="114">
        <v>52080</v>
      </c>
      <c r="J2210" s="113"/>
    </row>
    <row r="2211" spans="4:10" x14ac:dyDescent="0.3">
      <c r="F2211">
        <v>2400</v>
      </c>
      <c r="G2211">
        <v>660</v>
      </c>
      <c r="H2211" s="114">
        <v>54470</v>
      </c>
      <c r="I2211" s="114">
        <v>60320</v>
      </c>
      <c r="J2211" s="113"/>
    </row>
    <row r="2212" spans="4:10" x14ac:dyDescent="0.3">
      <c r="E2212">
        <v>2000</v>
      </c>
      <c r="F2212">
        <v>2200</v>
      </c>
      <c r="G2212">
        <v>660</v>
      </c>
      <c r="H2212" s="114">
        <v>50640</v>
      </c>
      <c r="I2212" s="114">
        <v>56060</v>
      </c>
      <c r="J2212" s="113"/>
    </row>
    <row r="2213" spans="4:10" x14ac:dyDescent="0.3">
      <c r="F2213">
        <v>2400</v>
      </c>
      <c r="G2213">
        <v>660</v>
      </c>
      <c r="H2213" s="114">
        <v>58020</v>
      </c>
      <c r="I2213" s="114">
        <v>64300</v>
      </c>
      <c r="J2213" s="113"/>
    </row>
    <row r="2214" spans="4:10" x14ac:dyDescent="0.3">
      <c r="D2214" t="s">
        <v>408</v>
      </c>
      <c r="E2214">
        <v>1600</v>
      </c>
      <c r="F2214">
        <v>2200</v>
      </c>
      <c r="G2214">
        <v>660</v>
      </c>
      <c r="H2214" s="114">
        <v>44710</v>
      </c>
      <c r="I2214" s="114">
        <v>49290</v>
      </c>
      <c r="J2214" s="113"/>
    </row>
    <row r="2215" spans="4:10" x14ac:dyDescent="0.3">
      <c r="F2215">
        <v>2400</v>
      </c>
      <c r="G2215">
        <v>660</v>
      </c>
      <c r="H2215" s="114">
        <v>52250</v>
      </c>
      <c r="I2215" s="114">
        <v>57670</v>
      </c>
      <c r="J2215" s="113"/>
    </row>
    <row r="2216" spans="4:10" x14ac:dyDescent="0.3">
      <c r="E2216">
        <v>1800</v>
      </c>
      <c r="F2216">
        <v>2200</v>
      </c>
      <c r="G2216">
        <v>660</v>
      </c>
      <c r="H2216" s="114">
        <v>48240</v>
      </c>
      <c r="I2216" s="114">
        <v>53250</v>
      </c>
      <c r="J2216" s="113"/>
    </row>
    <row r="2217" spans="4:10" x14ac:dyDescent="0.3">
      <c r="F2217">
        <v>2400</v>
      </c>
      <c r="G2217">
        <v>660</v>
      </c>
      <c r="H2217" s="114">
        <v>55780</v>
      </c>
      <c r="I2217" s="114">
        <v>61630</v>
      </c>
      <c r="J2217" s="113"/>
    </row>
    <row r="2218" spans="4:10" x14ac:dyDescent="0.3">
      <c r="E2218">
        <v>2000</v>
      </c>
      <c r="F2218">
        <v>2200</v>
      </c>
      <c r="G2218">
        <v>660</v>
      </c>
      <c r="H2218" s="114">
        <v>51810</v>
      </c>
      <c r="I2218" s="114">
        <v>57230</v>
      </c>
      <c r="J2218" s="113"/>
    </row>
    <row r="2219" spans="4:10" x14ac:dyDescent="0.3">
      <c r="F2219">
        <v>2400</v>
      </c>
      <c r="G2219">
        <v>660</v>
      </c>
      <c r="H2219" s="114">
        <v>59330</v>
      </c>
      <c r="I2219" s="114">
        <v>65610</v>
      </c>
      <c r="J2219" s="113"/>
    </row>
    <row r="2220" spans="4:10" x14ac:dyDescent="0.3">
      <c r="D2220" t="s">
        <v>409</v>
      </c>
      <c r="E2220">
        <v>1600</v>
      </c>
      <c r="F2220">
        <v>2200</v>
      </c>
      <c r="G2220">
        <v>660</v>
      </c>
      <c r="H2220" s="114">
        <v>44710</v>
      </c>
      <c r="I2220" s="114">
        <v>49290</v>
      </c>
      <c r="J2220" s="113"/>
    </row>
    <row r="2221" spans="4:10" x14ac:dyDescent="0.3">
      <c r="F2221">
        <v>2400</v>
      </c>
      <c r="G2221">
        <v>660</v>
      </c>
      <c r="H2221" s="114">
        <v>52250</v>
      </c>
      <c r="I2221" s="114">
        <v>57670</v>
      </c>
      <c r="J2221" s="113"/>
    </row>
    <row r="2222" spans="4:10" x14ac:dyDescent="0.3">
      <c r="E2222">
        <v>1800</v>
      </c>
      <c r="F2222">
        <v>2200</v>
      </c>
      <c r="G2222">
        <v>660</v>
      </c>
      <c r="H2222" s="114">
        <v>48240</v>
      </c>
      <c r="I2222" s="114">
        <v>53250</v>
      </c>
      <c r="J2222" s="113"/>
    </row>
    <row r="2223" spans="4:10" x14ac:dyDescent="0.3">
      <c r="F2223">
        <v>2400</v>
      </c>
      <c r="G2223">
        <v>660</v>
      </c>
      <c r="H2223" s="114">
        <v>55780</v>
      </c>
      <c r="I2223" s="114">
        <v>61630</v>
      </c>
      <c r="J2223" s="113"/>
    </row>
    <row r="2224" spans="4:10" x14ac:dyDescent="0.3">
      <c r="E2224">
        <v>2000</v>
      </c>
      <c r="F2224">
        <v>2200</v>
      </c>
      <c r="G2224">
        <v>660</v>
      </c>
      <c r="H2224" s="114">
        <v>51810</v>
      </c>
      <c r="I2224" s="114">
        <v>57230</v>
      </c>
      <c r="J2224" s="113"/>
    </row>
    <row r="2225" spans="4:10" x14ac:dyDescent="0.3">
      <c r="F2225">
        <v>2400</v>
      </c>
      <c r="G2225">
        <v>660</v>
      </c>
      <c r="H2225" s="114">
        <v>59330</v>
      </c>
      <c r="I2225" s="114">
        <v>65610</v>
      </c>
      <c r="J2225" s="113"/>
    </row>
    <row r="2226" spans="4:10" x14ac:dyDescent="0.3">
      <c r="D2226" t="s">
        <v>410</v>
      </c>
      <c r="E2226">
        <v>1600</v>
      </c>
      <c r="F2226">
        <v>2200</v>
      </c>
      <c r="G2226">
        <v>660</v>
      </c>
      <c r="H2226" s="114">
        <v>49010</v>
      </c>
      <c r="I2226" s="114">
        <v>53590</v>
      </c>
      <c r="J2226" s="113"/>
    </row>
    <row r="2227" spans="4:10" x14ac:dyDescent="0.3">
      <c r="F2227">
        <v>2400</v>
      </c>
      <c r="G2227">
        <v>660</v>
      </c>
      <c r="H2227" s="114">
        <v>57740</v>
      </c>
      <c r="I2227" s="114">
        <v>63160</v>
      </c>
      <c r="J2227" s="113"/>
    </row>
    <row r="2228" spans="4:10" x14ac:dyDescent="0.3">
      <c r="E2228">
        <v>1800</v>
      </c>
      <c r="F2228">
        <v>2200</v>
      </c>
      <c r="G2228">
        <v>660</v>
      </c>
      <c r="H2228" s="114">
        <v>52540</v>
      </c>
      <c r="I2228" s="114">
        <v>57550</v>
      </c>
      <c r="J2228" s="113"/>
    </row>
    <row r="2229" spans="4:10" x14ac:dyDescent="0.3">
      <c r="F2229">
        <v>2400</v>
      </c>
      <c r="G2229">
        <v>660</v>
      </c>
      <c r="H2229" s="114">
        <v>61270</v>
      </c>
      <c r="I2229" s="114">
        <v>67120</v>
      </c>
      <c r="J2229" s="113"/>
    </row>
    <row r="2230" spans="4:10" x14ac:dyDescent="0.3">
      <c r="E2230">
        <v>2000</v>
      </c>
      <c r="F2230">
        <v>2200</v>
      </c>
      <c r="G2230">
        <v>660</v>
      </c>
      <c r="H2230" s="114">
        <v>56110</v>
      </c>
      <c r="I2230" s="114">
        <v>61530</v>
      </c>
      <c r="J2230" s="113"/>
    </row>
    <row r="2231" spans="4:10" x14ac:dyDescent="0.3">
      <c r="F2231">
        <v>2400</v>
      </c>
      <c r="G2231">
        <v>660</v>
      </c>
      <c r="H2231" s="114">
        <v>64820</v>
      </c>
      <c r="I2231" s="114">
        <v>71100</v>
      </c>
      <c r="J2231" s="113"/>
    </row>
    <row r="2232" spans="4:10" x14ac:dyDescent="0.3">
      <c r="D2232" t="s">
        <v>411</v>
      </c>
      <c r="E2232">
        <v>1600</v>
      </c>
      <c r="F2232">
        <v>2200</v>
      </c>
      <c r="G2232">
        <v>660</v>
      </c>
      <c r="H2232" s="114">
        <v>49010</v>
      </c>
      <c r="I2232" s="114">
        <v>53590</v>
      </c>
      <c r="J2232" s="113"/>
    </row>
    <row r="2233" spans="4:10" x14ac:dyDescent="0.3">
      <c r="F2233">
        <v>2400</v>
      </c>
      <c r="G2233">
        <v>660</v>
      </c>
      <c r="H2233" s="114">
        <v>57740</v>
      </c>
      <c r="I2233" s="114">
        <v>63160</v>
      </c>
      <c r="J2233" s="113"/>
    </row>
    <row r="2234" spans="4:10" x14ac:dyDescent="0.3">
      <c r="E2234">
        <v>1800</v>
      </c>
      <c r="F2234">
        <v>2200</v>
      </c>
      <c r="G2234">
        <v>660</v>
      </c>
      <c r="H2234" s="114">
        <v>52540</v>
      </c>
      <c r="I2234" s="114">
        <v>57550</v>
      </c>
      <c r="J2234" s="113"/>
    </row>
    <row r="2235" spans="4:10" x14ac:dyDescent="0.3">
      <c r="F2235">
        <v>2400</v>
      </c>
      <c r="G2235">
        <v>660</v>
      </c>
      <c r="H2235" s="114">
        <v>61270</v>
      </c>
      <c r="I2235" s="114">
        <v>67120</v>
      </c>
      <c r="J2235" s="113"/>
    </row>
    <row r="2236" spans="4:10" x14ac:dyDescent="0.3">
      <c r="E2236">
        <v>2000</v>
      </c>
      <c r="F2236">
        <v>2200</v>
      </c>
      <c r="G2236">
        <v>660</v>
      </c>
      <c r="H2236" s="114">
        <v>56110</v>
      </c>
      <c r="I2236" s="114">
        <v>61530</v>
      </c>
      <c r="J2236" s="113"/>
    </row>
    <row r="2237" spans="4:10" x14ac:dyDescent="0.3">
      <c r="F2237">
        <v>2400</v>
      </c>
      <c r="G2237">
        <v>660</v>
      </c>
      <c r="H2237" s="114">
        <v>64820</v>
      </c>
      <c r="I2237" s="114">
        <v>71100</v>
      </c>
      <c r="J2237" s="113"/>
    </row>
    <row r="2238" spans="4:10" x14ac:dyDescent="0.3">
      <c r="D2238" t="s">
        <v>412</v>
      </c>
      <c r="E2238">
        <v>1600</v>
      </c>
      <c r="F2238">
        <v>2200</v>
      </c>
      <c r="G2238">
        <v>660</v>
      </c>
      <c r="H2238" s="114">
        <v>49010</v>
      </c>
      <c r="I2238" s="114">
        <v>53590</v>
      </c>
      <c r="J2238" s="113"/>
    </row>
    <row r="2239" spans="4:10" x14ac:dyDescent="0.3">
      <c r="F2239">
        <v>2400</v>
      </c>
      <c r="G2239">
        <v>660</v>
      </c>
      <c r="H2239" s="114">
        <v>57740</v>
      </c>
      <c r="I2239" s="114">
        <v>63160</v>
      </c>
      <c r="J2239" s="113"/>
    </row>
    <row r="2240" spans="4:10" x14ac:dyDescent="0.3">
      <c r="E2240">
        <v>1800</v>
      </c>
      <c r="F2240">
        <v>2200</v>
      </c>
      <c r="G2240">
        <v>660</v>
      </c>
      <c r="H2240" s="114">
        <v>52540</v>
      </c>
      <c r="I2240" s="114">
        <v>57550</v>
      </c>
      <c r="J2240" s="113"/>
    </row>
    <row r="2241" spans="4:10" x14ac:dyDescent="0.3">
      <c r="F2241">
        <v>2400</v>
      </c>
      <c r="G2241">
        <v>660</v>
      </c>
      <c r="H2241" s="114">
        <v>61270</v>
      </c>
      <c r="I2241" s="114">
        <v>67120</v>
      </c>
      <c r="J2241" s="113"/>
    </row>
    <row r="2242" spans="4:10" x14ac:dyDescent="0.3">
      <c r="E2242">
        <v>2000</v>
      </c>
      <c r="F2242">
        <v>2200</v>
      </c>
      <c r="G2242">
        <v>660</v>
      </c>
      <c r="H2242" s="114">
        <v>56110</v>
      </c>
      <c r="I2242" s="114">
        <v>61530</v>
      </c>
      <c r="J2242" s="113"/>
    </row>
    <row r="2243" spans="4:10" x14ac:dyDescent="0.3">
      <c r="F2243">
        <v>2400</v>
      </c>
      <c r="G2243">
        <v>660</v>
      </c>
      <c r="H2243" s="114">
        <v>64820</v>
      </c>
      <c r="I2243" s="114">
        <v>71100</v>
      </c>
      <c r="J2243" s="113"/>
    </row>
    <row r="2244" spans="4:10" x14ac:dyDescent="0.3">
      <c r="D2244" t="s">
        <v>413</v>
      </c>
      <c r="E2244">
        <v>1600</v>
      </c>
      <c r="F2244">
        <v>2200</v>
      </c>
      <c r="G2244">
        <v>660</v>
      </c>
      <c r="H2244" s="114">
        <v>73400</v>
      </c>
      <c r="I2244" s="114">
        <v>77020</v>
      </c>
      <c r="J2244" s="113"/>
    </row>
    <row r="2245" spans="4:10" x14ac:dyDescent="0.3">
      <c r="F2245">
        <v>2400</v>
      </c>
      <c r="G2245">
        <v>660</v>
      </c>
      <c r="H2245" s="114">
        <v>87020</v>
      </c>
      <c r="I2245" s="114">
        <v>91480</v>
      </c>
      <c r="J2245" s="113"/>
    </row>
    <row r="2246" spans="4:10" x14ac:dyDescent="0.3">
      <c r="E2246">
        <v>1800</v>
      </c>
      <c r="F2246">
        <v>2200</v>
      </c>
      <c r="G2246">
        <v>660</v>
      </c>
      <c r="H2246" s="114">
        <v>76930</v>
      </c>
      <c r="I2246" s="114">
        <v>80980</v>
      </c>
      <c r="J2246" s="113"/>
    </row>
    <row r="2247" spans="4:10" x14ac:dyDescent="0.3">
      <c r="F2247">
        <v>2400</v>
      </c>
      <c r="G2247">
        <v>660</v>
      </c>
      <c r="H2247" s="114">
        <v>90550</v>
      </c>
      <c r="I2247" s="114">
        <v>95440</v>
      </c>
      <c r="J2247" s="113"/>
    </row>
    <row r="2248" spans="4:10" x14ac:dyDescent="0.3">
      <c r="E2248">
        <v>2000</v>
      </c>
      <c r="F2248">
        <v>2200</v>
      </c>
      <c r="G2248">
        <v>660</v>
      </c>
      <c r="H2248" s="114">
        <v>80500</v>
      </c>
      <c r="I2248" s="114">
        <v>84960</v>
      </c>
      <c r="J2248" s="113"/>
    </row>
    <row r="2249" spans="4:10" x14ac:dyDescent="0.3">
      <c r="F2249">
        <v>2400</v>
      </c>
      <c r="G2249">
        <v>660</v>
      </c>
      <c r="H2249" s="114">
        <v>94100</v>
      </c>
      <c r="I2249" s="114">
        <v>99420</v>
      </c>
      <c r="J2249" s="113"/>
    </row>
    <row r="2250" spans="4:10" x14ac:dyDescent="0.3">
      <c r="D2250" t="s">
        <v>414</v>
      </c>
      <c r="E2250">
        <v>1600</v>
      </c>
      <c r="F2250">
        <v>2200</v>
      </c>
      <c r="G2250">
        <v>660</v>
      </c>
      <c r="H2250" s="114">
        <v>73400</v>
      </c>
      <c r="I2250" s="114">
        <v>77020</v>
      </c>
      <c r="J2250" s="113"/>
    </row>
    <row r="2251" spans="4:10" x14ac:dyDescent="0.3">
      <c r="F2251">
        <v>2400</v>
      </c>
      <c r="G2251">
        <v>660</v>
      </c>
      <c r="H2251" s="114">
        <v>87020</v>
      </c>
      <c r="I2251" s="114">
        <v>91480</v>
      </c>
      <c r="J2251" s="113"/>
    </row>
    <row r="2252" spans="4:10" x14ac:dyDescent="0.3">
      <c r="E2252">
        <v>1800</v>
      </c>
      <c r="F2252">
        <v>2200</v>
      </c>
      <c r="G2252">
        <v>660</v>
      </c>
      <c r="H2252" s="114">
        <v>76930</v>
      </c>
      <c r="I2252" s="114">
        <v>80980</v>
      </c>
      <c r="J2252" s="113"/>
    </row>
    <row r="2253" spans="4:10" x14ac:dyDescent="0.3">
      <c r="F2253">
        <v>2400</v>
      </c>
      <c r="G2253">
        <v>660</v>
      </c>
      <c r="H2253" s="114">
        <v>90550</v>
      </c>
      <c r="I2253" s="114">
        <v>95440</v>
      </c>
      <c r="J2253" s="113"/>
    </row>
    <row r="2254" spans="4:10" x14ac:dyDescent="0.3">
      <c r="E2254">
        <v>2000</v>
      </c>
      <c r="F2254">
        <v>2200</v>
      </c>
      <c r="G2254">
        <v>660</v>
      </c>
      <c r="H2254" s="114">
        <v>80500</v>
      </c>
      <c r="I2254" s="114">
        <v>84960</v>
      </c>
      <c r="J2254" s="113"/>
    </row>
    <row r="2255" spans="4:10" x14ac:dyDescent="0.3">
      <c r="F2255">
        <v>2400</v>
      </c>
      <c r="G2255">
        <v>660</v>
      </c>
      <c r="H2255" s="114">
        <v>94100</v>
      </c>
      <c r="I2255" s="114">
        <v>99420</v>
      </c>
      <c r="J2255" s="113"/>
    </row>
    <row r="2256" spans="4:10" x14ac:dyDescent="0.3">
      <c r="D2256" t="s">
        <v>415</v>
      </c>
      <c r="E2256">
        <v>1600</v>
      </c>
      <c r="F2256">
        <v>2200</v>
      </c>
      <c r="G2256">
        <v>660</v>
      </c>
      <c r="H2256" s="114">
        <v>69100</v>
      </c>
      <c r="I2256" s="114">
        <v>72720</v>
      </c>
      <c r="J2256" s="113"/>
    </row>
    <row r="2257" spans="4:10" x14ac:dyDescent="0.3">
      <c r="F2257">
        <v>2400</v>
      </c>
      <c r="G2257">
        <v>660</v>
      </c>
      <c r="H2257" s="114">
        <v>81530</v>
      </c>
      <c r="I2257" s="114">
        <v>85990</v>
      </c>
      <c r="J2257" s="113"/>
    </row>
    <row r="2258" spans="4:10" x14ac:dyDescent="0.3">
      <c r="E2258">
        <v>1800</v>
      </c>
      <c r="F2258">
        <v>2200</v>
      </c>
      <c r="G2258">
        <v>660</v>
      </c>
      <c r="H2258" s="114">
        <v>72630</v>
      </c>
      <c r="I2258" s="114">
        <v>76680</v>
      </c>
      <c r="J2258" s="113"/>
    </row>
    <row r="2259" spans="4:10" x14ac:dyDescent="0.3">
      <c r="F2259">
        <v>2400</v>
      </c>
      <c r="G2259">
        <v>660</v>
      </c>
      <c r="H2259" s="114">
        <v>85060</v>
      </c>
      <c r="I2259" s="114">
        <v>89950</v>
      </c>
      <c r="J2259" s="113"/>
    </row>
    <row r="2260" spans="4:10" x14ac:dyDescent="0.3">
      <c r="E2260">
        <v>2000</v>
      </c>
      <c r="F2260">
        <v>2200</v>
      </c>
      <c r="G2260">
        <v>660</v>
      </c>
      <c r="H2260" s="114">
        <v>76200</v>
      </c>
      <c r="I2260" s="114">
        <v>80660</v>
      </c>
      <c r="J2260" s="113"/>
    </row>
    <row r="2261" spans="4:10" x14ac:dyDescent="0.3">
      <c r="F2261">
        <v>2400</v>
      </c>
      <c r="G2261">
        <v>660</v>
      </c>
      <c r="H2261" s="114">
        <v>88610</v>
      </c>
      <c r="I2261" s="114">
        <v>93930</v>
      </c>
      <c r="J2261" s="113"/>
    </row>
    <row r="2262" spans="4:10" x14ac:dyDescent="0.3">
      <c r="D2262" t="s">
        <v>416</v>
      </c>
      <c r="E2262">
        <v>1600</v>
      </c>
      <c r="F2262">
        <v>2200</v>
      </c>
      <c r="G2262">
        <v>660</v>
      </c>
      <c r="H2262" s="114">
        <v>67930</v>
      </c>
      <c r="I2262" s="114">
        <v>71550</v>
      </c>
      <c r="J2262" s="113"/>
    </row>
    <row r="2263" spans="4:10" x14ac:dyDescent="0.3">
      <c r="F2263">
        <v>2400</v>
      </c>
      <c r="G2263">
        <v>660</v>
      </c>
      <c r="H2263" s="114">
        <v>80220</v>
      </c>
      <c r="I2263" s="114">
        <v>84680</v>
      </c>
      <c r="J2263" s="113"/>
    </row>
    <row r="2264" spans="4:10" x14ac:dyDescent="0.3">
      <c r="E2264">
        <v>1800</v>
      </c>
      <c r="F2264">
        <v>2200</v>
      </c>
      <c r="G2264">
        <v>660</v>
      </c>
      <c r="H2264" s="114">
        <v>71460</v>
      </c>
      <c r="I2264" s="114">
        <v>75510</v>
      </c>
      <c r="J2264" s="113"/>
    </row>
    <row r="2265" spans="4:10" x14ac:dyDescent="0.3">
      <c r="F2265">
        <v>2400</v>
      </c>
      <c r="G2265">
        <v>660</v>
      </c>
      <c r="H2265" s="114">
        <v>83750</v>
      </c>
      <c r="I2265" s="114">
        <v>88640</v>
      </c>
      <c r="J2265" s="113"/>
    </row>
    <row r="2266" spans="4:10" x14ac:dyDescent="0.3">
      <c r="E2266">
        <v>2000</v>
      </c>
      <c r="F2266">
        <v>2200</v>
      </c>
      <c r="G2266">
        <v>660</v>
      </c>
      <c r="H2266" s="114">
        <v>75030</v>
      </c>
      <c r="I2266" s="114">
        <v>79490</v>
      </c>
      <c r="J2266" s="113"/>
    </row>
    <row r="2267" spans="4:10" x14ac:dyDescent="0.3">
      <c r="F2267">
        <v>2400</v>
      </c>
      <c r="G2267">
        <v>660</v>
      </c>
      <c r="H2267" s="114">
        <v>87300</v>
      </c>
      <c r="I2267" s="114">
        <v>92620</v>
      </c>
      <c r="J2267" s="113"/>
    </row>
    <row r="2268" spans="4:10" x14ac:dyDescent="0.3">
      <c r="D2268" t="s">
        <v>417</v>
      </c>
      <c r="E2268">
        <v>1600</v>
      </c>
      <c r="F2268">
        <v>2200</v>
      </c>
      <c r="G2268">
        <v>660</v>
      </c>
      <c r="H2268" s="114">
        <v>65270</v>
      </c>
      <c r="I2268" s="114">
        <v>69210</v>
      </c>
      <c r="J2268" s="113"/>
    </row>
    <row r="2269" spans="4:10" x14ac:dyDescent="0.3">
      <c r="F2269">
        <v>2400</v>
      </c>
      <c r="G2269">
        <v>660</v>
      </c>
      <c r="H2269" s="114">
        <v>77260</v>
      </c>
      <c r="I2269" s="114">
        <v>82040</v>
      </c>
      <c r="J2269" s="113"/>
    </row>
    <row r="2270" spans="4:10" x14ac:dyDescent="0.3">
      <c r="E2270">
        <v>1800</v>
      </c>
      <c r="F2270">
        <v>2200</v>
      </c>
      <c r="G2270">
        <v>660</v>
      </c>
      <c r="H2270" s="114">
        <v>68800</v>
      </c>
      <c r="I2270" s="114">
        <v>73170</v>
      </c>
      <c r="J2270" s="113"/>
    </row>
    <row r="2271" spans="4:10" x14ac:dyDescent="0.3">
      <c r="F2271">
        <v>2400</v>
      </c>
      <c r="G2271">
        <v>660</v>
      </c>
      <c r="H2271" s="114">
        <v>80790</v>
      </c>
      <c r="I2271" s="114">
        <v>86000</v>
      </c>
      <c r="J2271" s="113"/>
    </row>
    <row r="2272" spans="4:10" x14ac:dyDescent="0.3">
      <c r="E2272">
        <v>2000</v>
      </c>
      <c r="F2272">
        <v>2200</v>
      </c>
      <c r="G2272">
        <v>660</v>
      </c>
      <c r="H2272" s="114">
        <v>72370</v>
      </c>
      <c r="I2272" s="114">
        <v>77150</v>
      </c>
      <c r="J2272" s="113"/>
    </row>
    <row r="2273" spans="4:10" x14ac:dyDescent="0.3">
      <c r="F2273">
        <v>2400</v>
      </c>
      <c r="G2273">
        <v>660</v>
      </c>
      <c r="H2273" s="114">
        <v>84340</v>
      </c>
      <c r="I2273" s="114">
        <v>89980</v>
      </c>
      <c r="J2273" s="113"/>
    </row>
    <row r="2274" spans="4:10" x14ac:dyDescent="0.3">
      <c r="D2274" t="s">
        <v>418</v>
      </c>
      <c r="E2274">
        <v>1600</v>
      </c>
      <c r="F2274">
        <v>2200</v>
      </c>
      <c r="G2274">
        <v>660</v>
      </c>
      <c r="H2274" s="114">
        <v>73400</v>
      </c>
      <c r="I2274" s="114">
        <v>77020</v>
      </c>
      <c r="J2274" s="113"/>
    </row>
    <row r="2275" spans="4:10" x14ac:dyDescent="0.3">
      <c r="F2275">
        <v>2400</v>
      </c>
      <c r="G2275">
        <v>660</v>
      </c>
      <c r="H2275" s="114">
        <v>87020</v>
      </c>
      <c r="I2275" s="114">
        <v>91480</v>
      </c>
      <c r="J2275" s="113"/>
    </row>
    <row r="2276" spans="4:10" x14ac:dyDescent="0.3">
      <c r="E2276">
        <v>1800</v>
      </c>
      <c r="F2276">
        <v>2200</v>
      </c>
      <c r="G2276">
        <v>660</v>
      </c>
      <c r="H2276" s="114">
        <v>76930</v>
      </c>
      <c r="I2276" s="114">
        <v>80980</v>
      </c>
      <c r="J2276" s="113"/>
    </row>
    <row r="2277" spans="4:10" x14ac:dyDescent="0.3">
      <c r="F2277">
        <v>2400</v>
      </c>
      <c r="G2277">
        <v>660</v>
      </c>
      <c r="H2277" s="114">
        <v>90550</v>
      </c>
      <c r="I2277" s="114">
        <v>95440</v>
      </c>
      <c r="J2277" s="113"/>
    </row>
    <row r="2278" spans="4:10" x14ac:dyDescent="0.3">
      <c r="E2278">
        <v>2000</v>
      </c>
      <c r="F2278">
        <v>2200</v>
      </c>
      <c r="G2278">
        <v>660</v>
      </c>
      <c r="H2278" s="114">
        <v>80500</v>
      </c>
      <c r="I2278" s="114">
        <v>84960</v>
      </c>
      <c r="J2278" s="113"/>
    </row>
    <row r="2279" spans="4:10" x14ac:dyDescent="0.3">
      <c r="F2279">
        <v>2400</v>
      </c>
      <c r="G2279">
        <v>660</v>
      </c>
      <c r="H2279" s="114">
        <v>94100</v>
      </c>
      <c r="I2279" s="114">
        <v>99420</v>
      </c>
      <c r="J2279" s="113"/>
    </row>
    <row r="2280" spans="4:10" x14ac:dyDescent="0.3">
      <c r="D2280" t="s">
        <v>419</v>
      </c>
      <c r="E2280">
        <v>1600</v>
      </c>
      <c r="F2280">
        <v>2200</v>
      </c>
      <c r="G2280">
        <v>660</v>
      </c>
      <c r="H2280" s="114">
        <v>69100</v>
      </c>
      <c r="I2280" s="114">
        <v>72720</v>
      </c>
      <c r="J2280" s="113"/>
    </row>
    <row r="2281" spans="4:10" x14ac:dyDescent="0.3">
      <c r="F2281">
        <v>2400</v>
      </c>
      <c r="G2281">
        <v>660</v>
      </c>
      <c r="H2281" s="114">
        <v>81530</v>
      </c>
      <c r="I2281" s="114">
        <v>85990</v>
      </c>
      <c r="J2281" s="113"/>
    </row>
    <row r="2282" spans="4:10" x14ac:dyDescent="0.3">
      <c r="E2282">
        <v>1800</v>
      </c>
      <c r="F2282">
        <v>2200</v>
      </c>
      <c r="G2282">
        <v>660</v>
      </c>
      <c r="H2282" s="114">
        <v>72630</v>
      </c>
      <c r="I2282" s="114">
        <v>76680</v>
      </c>
      <c r="J2282" s="113"/>
    </row>
    <row r="2283" spans="4:10" x14ac:dyDescent="0.3">
      <c r="F2283">
        <v>2400</v>
      </c>
      <c r="G2283">
        <v>660</v>
      </c>
      <c r="H2283" s="114">
        <v>85060</v>
      </c>
      <c r="I2283" s="114">
        <v>89950</v>
      </c>
      <c r="J2283" s="113"/>
    </row>
    <row r="2284" spans="4:10" x14ac:dyDescent="0.3">
      <c r="E2284">
        <v>2000</v>
      </c>
      <c r="F2284">
        <v>2200</v>
      </c>
      <c r="G2284">
        <v>660</v>
      </c>
      <c r="H2284" s="114">
        <v>76200</v>
      </c>
      <c r="I2284" s="114">
        <v>80660</v>
      </c>
      <c r="J2284" s="113"/>
    </row>
    <row r="2285" spans="4:10" x14ac:dyDescent="0.3">
      <c r="F2285">
        <v>2400</v>
      </c>
      <c r="G2285">
        <v>660</v>
      </c>
      <c r="H2285" s="114">
        <v>88610</v>
      </c>
      <c r="I2285" s="114">
        <v>93930</v>
      </c>
      <c r="J2285" s="113"/>
    </row>
    <row r="2286" spans="4:10" x14ac:dyDescent="0.3">
      <c r="D2286" t="s">
        <v>420</v>
      </c>
      <c r="E2286">
        <v>1600</v>
      </c>
      <c r="F2286">
        <v>2200</v>
      </c>
      <c r="G2286">
        <v>660</v>
      </c>
      <c r="H2286" s="114">
        <v>73400</v>
      </c>
      <c r="I2286" s="114">
        <v>77020</v>
      </c>
      <c r="J2286" s="113"/>
    </row>
    <row r="2287" spans="4:10" x14ac:dyDescent="0.3">
      <c r="F2287">
        <v>2400</v>
      </c>
      <c r="G2287">
        <v>660</v>
      </c>
      <c r="H2287" s="114">
        <v>87020</v>
      </c>
      <c r="I2287" s="114">
        <v>91480</v>
      </c>
      <c r="J2287" s="113"/>
    </row>
    <row r="2288" spans="4:10" x14ac:dyDescent="0.3">
      <c r="E2288">
        <v>1800</v>
      </c>
      <c r="F2288">
        <v>2200</v>
      </c>
      <c r="G2288">
        <v>660</v>
      </c>
      <c r="H2288" s="114">
        <v>76930</v>
      </c>
      <c r="I2288" s="114">
        <v>80980</v>
      </c>
      <c r="J2288" s="113"/>
    </row>
    <row r="2289" spans="4:10" x14ac:dyDescent="0.3">
      <c r="F2289">
        <v>2400</v>
      </c>
      <c r="G2289">
        <v>660</v>
      </c>
      <c r="H2289" s="114">
        <v>90550</v>
      </c>
      <c r="I2289" s="114">
        <v>95440</v>
      </c>
      <c r="J2289" s="113"/>
    </row>
    <row r="2290" spans="4:10" x14ac:dyDescent="0.3">
      <c r="E2290">
        <v>2000</v>
      </c>
      <c r="F2290">
        <v>2200</v>
      </c>
      <c r="G2290">
        <v>660</v>
      </c>
      <c r="H2290" s="114">
        <v>80500</v>
      </c>
      <c r="I2290" s="114">
        <v>84960</v>
      </c>
      <c r="J2290" s="113"/>
    </row>
    <row r="2291" spans="4:10" x14ac:dyDescent="0.3">
      <c r="F2291">
        <v>2400</v>
      </c>
      <c r="G2291">
        <v>660</v>
      </c>
      <c r="H2291" s="114">
        <v>94100</v>
      </c>
      <c r="I2291" s="114">
        <v>99420</v>
      </c>
      <c r="J2291" s="113"/>
    </row>
    <row r="2292" spans="4:10" x14ac:dyDescent="0.3">
      <c r="D2292" t="s">
        <v>421</v>
      </c>
      <c r="E2292">
        <v>1600</v>
      </c>
      <c r="F2292">
        <v>2200</v>
      </c>
      <c r="G2292">
        <v>660</v>
      </c>
      <c r="H2292" s="114">
        <v>69100</v>
      </c>
      <c r="I2292" s="114">
        <v>72720</v>
      </c>
      <c r="J2292" s="113"/>
    </row>
    <row r="2293" spans="4:10" x14ac:dyDescent="0.3">
      <c r="F2293">
        <v>2400</v>
      </c>
      <c r="G2293">
        <v>660</v>
      </c>
      <c r="H2293" s="114">
        <v>81530</v>
      </c>
      <c r="I2293" s="114">
        <v>85990</v>
      </c>
      <c r="J2293" s="113"/>
    </row>
    <row r="2294" spans="4:10" x14ac:dyDescent="0.3">
      <c r="E2294">
        <v>1800</v>
      </c>
      <c r="F2294">
        <v>2200</v>
      </c>
      <c r="G2294">
        <v>660</v>
      </c>
      <c r="H2294" s="114">
        <v>72630</v>
      </c>
      <c r="I2294" s="114">
        <v>76680</v>
      </c>
      <c r="J2294" s="113"/>
    </row>
    <row r="2295" spans="4:10" x14ac:dyDescent="0.3">
      <c r="F2295">
        <v>2400</v>
      </c>
      <c r="G2295">
        <v>660</v>
      </c>
      <c r="H2295" s="114">
        <v>85060</v>
      </c>
      <c r="I2295" s="114">
        <v>89950</v>
      </c>
      <c r="J2295" s="113"/>
    </row>
    <row r="2296" spans="4:10" x14ac:dyDescent="0.3">
      <c r="E2296">
        <v>2000</v>
      </c>
      <c r="F2296">
        <v>2200</v>
      </c>
      <c r="G2296">
        <v>660</v>
      </c>
      <c r="H2296" s="114">
        <v>76200</v>
      </c>
      <c r="I2296" s="114">
        <v>80660</v>
      </c>
      <c r="J2296" s="113"/>
    </row>
    <row r="2297" spans="4:10" x14ac:dyDescent="0.3">
      <c r="F2297">
        <v>2400</v>
      </c>
      <c r="G2297">
        <v>660</v>
      </c>
      <c r="H2297" s="114">
        <v>88610</v>
      </c>
      <c r="I2297" s="114">
        <v>93930</v>
      </c>
      <c r="J2297" s="113"/>
    </row>
    <row r="2298" spans="4:10" x14ac:dyDescent="0.3">
      <c r="D2298" t="s">
        <v>422</v>
      </c>
      <c r="E2298">
        <v>1600</v>
      </c>
      <c r="F2298">
        <v>2200</v>
      </c>
      <c r="G2298">
        <v>660</v>
      </c>
      <c r="H2298" s="114">
        <v>67930</v>
      </c>
      <c r="I2298" s="114">
        <v>71550</v>
      </c>
      <c r="J2298" s="113"/>
    </row>
    <row r="2299" spans="4:10" x14ac:dyDescent="0.3">
      <c r="F2299">
        <v>2400</v>
      </c>
      <c r="G2299">
        <v>660</v>
      </c>
      <c r="H2299" s="114">
        <v>80220</v>
      </c>
      <c r="I2299" s="114">
        <v>84680</v>
      </c>
      <c r="J2299" s="113"/>
    </row>
    <row r="2300" spans="4:10" x14ac:dyDescent="0.3">
      <c r="E2300">
        <v>1800</v>
      </c>
      <c r="F2300">
        <v>2200</v>
      </c>
      <c r="G2300">
        <v>660</v>
      </c>
      <c r="H2300" s="114">
        <v>71460</v>
      </c>
      <c r="I2300" s="114">
        <v>75510</v>
      </c>
      <c r="J2300" s="113"/>
    </row>
    <row r="2301" spans="4:10" x14ac:dyDescent="0.3">
      <c r="F2301">
        <v>2400</v>
      </c>
      <c r="G2301">
        <v>660</v>
      </c>
      <c r="H2301" s="114">
        <v>83750</v>
      </c>
      <c r="I2301" s="114">
        <v>88640</v>
      </c>
      <c r="J2301" s="113"/>
    </row>
    <row r="2302" spans="4:10" x14ac:dyDescent="0.3">
      <c r="E2302">
        <v>2000</v>
      </c>
      <c r="F2302">
        <v>2200</v>
      </c>
      <c r="G2302">
        <v>660</v>
      </c>
      <c r="H2302" s="114">
        <v>75030</v>
      </c>
      <c r="I2302" s="114">
        <v>79490</v>
      </c>
      <c r="J2302" s="113"/>
    </row>
    <row r="2303" spans="4:10" x14ac:dyDescent="0.3">
      <c r="F2303">
        <v>2400</v>
      </c>
      <c r="G2303">
        <v>660</v>
      </c>
      <c r="H2303" s="114">
        <v>87300</v>
      </c>
      <c r="I2303" s="114">
        <v>92620</v>
      </c>
      <c r="J2303" s="113"/>
    </row>
    <row r="2304" spans="4:10" x14ac:dyDescent="0.3">
      <c r="D2304" t="s">
        <v>423</v>
      </c>
      <c r="E2304">
        <v>1600</v>
      </c>
      <c r="F2304">
        <v>2200</v>
      </c>
      <c r="G2304">
        <v>660</v>
      </c>
      <c r="H2304" s="114">
        <v>65270</v>
      </c>
      <c r="I2304" s="114">
        <v>69210</v>
      </c>
      <c r="J2304" s="113"/>
    </row>
    <row r="2305" spans="4:10" x14ac:dyDescent="0.3">
      <c r="F2305">
        <v>2400</v>
      </c>
      <c r="G2305">
        <v>660</v>
      </c>
      <c r="H2305" s="114">
        <v>77260</v>
      </c>
      <c r="I2305" s="114">
        <v>82040</v>
      </c>
      <c r="J2305" s="113"/>
    </row>
    <row r="2306" spans="4:10" x14ac:dyDescent="0.3">
      <c r="E2306">
        <v>1800</v>
      </c>
      <c r="F2306">
        <v>2200</v>
      </c>
      <c r="G2306">
        <v>660</v>
      </c>
      <c r="H2306" s="114">
        <v>68800</v>
      </c>
      <c r="I2306" s="114">
        <v>73170</v>
      </c>
      <c r="J2306" s="113"/>
    </row>
    <row r="2307" spans="4:10" x14ac:dyDescent="0.3">
      <c r="F2307">
        <v>2400</v>
      </c>
      <c r="G2307">
        <v>660</v>
      </c>
      <c r="H2307" s="114">
        <v>80790</v>
      </c>
      <c r="I2307" s="114">
        <v>86000</v>
      </c>
      <c r="J2307" s="113"/>
    </row>
    <row r="2308" spans="4:10" x14ac:dyDescent="0.3">
      <c r="E2308">
        <v>2000</v>
      </c>
      <c r="F2308">
        <v>2200</v>
      </c>
      <c r="G2308">
        <v>660</v>
      </c>
      <c r="H2308" s="114">
        <v>72370</v>
      </c>
      <c r="I2308" s="114">
        <v>77150</v>
      </c>
      <c r="J2308" s="113"/>
    </row>
    <row r="2309" spans="4:10" x14ac:dyDescent="0.3">
      <c r="F2309">
        <v>2400</v>
      </c>
      <c r="G2309">
        <v>660</v>
      </c>
      <c r="H2309" s="114">
        <v>84340</v>
      </c>
      <c r="I2309" s="114">
        <v>89980</v>
      </c>
      <c r="J2309" s="113"/>
    </row>
    <row r="2310" spans="4:10" x14ac:dyDescent="0.3">
      <c r="D2310" t="s">
        <v>424</v>
      </c>
      <c r="E2310">
        <v>1600</v>
      </c>
      <c r="F2310">
        <v>2200</v>
      </c>
      <c r="G2310">
        <v>660</v>
      </c>
      <c r="H2310" s="114">
        <v>73400</v>
      </c>
      <c r="I2310" s="114">
        <v>77020</v>
      </c>
      <c r="J2310" s="113"/>
    </row>
    <row r="2311" spans="4:10" x14ac:dyDescent="0.3">
      <c r="F2311">
        <v>2400</v>
      </c>
      <c r="G2311">
        <v>660</v>
      </c>
      <c r="H2311" s="114">
        <v>87020</v>
      </c>
      <c r="I2311" s="114">
        <v>91480</v>
      </c>
      <c r="J2311" s="113"/>
    </row>
    <row r="2312" spans="4:10" x14ac:dyDescent="0.3">
      <c r="E2312">
        <v>1800</v>
      </c>
      <c r="F2312">
        <v>2200</v>
      </c>
      <c r="G2312">
        <v>660</v>
      </c>
      <c r="H2312" s="114">
        <v>76930</v>
      </c>
      <c r="I2312" s="114">
        <v>80980</v>
      </c>
      <c r="J2312" s="113"/>
    </row>
    <row r="2313" spans="4:10" x14ac:dyDescent="0.3">
      <c r="F2313">
        <v>2400</v>
      </c>
      <c r="G2313">
        <v>660</v>
      </c>
      <c r="H2313" s="114">
        <v>90550</v>
      </c>
      <c r="I2313" s="114">
        <v>95440</v>
      </c>
      <c r="J2313" s="113"/>
    </row>
    <row r="2314" spans="4:10" x14ac:dyDescent="0.3">
      <c r="E2314">
        <v>2000</v>
      </c>
      <c r="F2314">
        <v>2200</v>
      </c>
      <c r="G2314">
        <v>660</v>
      </c>
      <c r="H2314" s="114">
        <v>80500</v>
      </c>
      <c r="I2314" s="114">
        <v>84960</v>
      </c>
      <c r="J2314" s="113"/>
    </row>
    <row r="2315" spans="4:10" x14ac:dyDescent="0.3">
      <c r="F2315">
        <v>2400</v>
      </c>
      <c r="G2315">
        <v>660</v>
      </c>
      <c r="H2315" s="114">
        <v>94100</v>
      </c>
      <c r="I2315" s="114">
        <v>99420</v>
      </c>
      <c r="J2315" s="113"/>
    </row>
    <row r="2316" spans="4:10" x14ac:dyDescent="0.3">
      <c r="D2316" t="s">
        <v>425</v>
      </c>
      <c r="E2316">
        <v>1600</v>
      </c>
      <c r="F2316">
        <v>2200</v>
      </c>
      <c r="G2316">
        <v>660</v>
      </c>
      <c r="H2316" s="114">
        <v>73400</v>
      </c>
      <c r="I2316" s="114">
        <v>77020</v>
      </c>
      <c r="J2316" s="113"/>
    </row>
    <row r="2317" spans="4:10" x14ac:dyDescent="0.3">
      <c r="F2317">
        <v>2400</v>
      </c>
      <c r="G2317">
        <v>660</v>
      </c>
      <c r="H2317" s="114">
        <v>87020</v>
      </c>
      <c r="I2317" s="114">
        <v>91480</v>
      </c>
      <c r="J2317" s="113"/>
    </row>
    <row r="2318" spans="4:10" x14ac:dyDescent="0.3">
      <c r="E2318">
        <v>1800</v>
      </c>
      <c r="F2318">
        <v>2200</v>
      </c>
      <c r="G2318">
        <v>660</v>
      </c>
      <c r="H2318" s="114">
        <v>76930</v>
      </c>
      <c r="I2318" s="114">
        <v>80980</v>
      </c>
      <c r="J2318" s="113"/>
    </row>
    <row r="2319" spans="4:10" x14ac:dyDescent="0.3">
      <c r="F2319">
        <v>2400</v>
      </c>
      <c r="G2319">
        <v>660</v>
      </c>
      <c r="H2319" s="114">
        <v>90550</v>
      </c>
      <c r="I2319" s="114">
        <v>95440</v>
      </c>
      <c r="J2319" s="113"/>
    </row>
    <row r="2320" spans="4:10" x14ac:dyDescent="0.3">
      <c r="E2320">
        <v>2000</v>
      </c>
      <c r="F2320">
        <v>2200</v>
      </c>
      <c r="G2320">
        <v>660</v>
      </c>
      <c r="H2320" s="114">
        <v>80500</v>
      </c>
      <c r="I2320" s="114">
        <v>84960</v>
      </c>
      <c r="J2320" s="113"/>
    </row>
    <row r="2321" spans="4:10" x14ac:dyDescent="0.3">
      <c r="F2321">
        <v>2400</v>
      </c>
      <c r="G2321">
        <v>660</v>
      </c>
      <c r="H2321" s="114">
        <v>94100</v>
      </c>
      <c r="I2321" s="114">
        <v>99420</v>
      </c>
      <c r="J2321" s="113"/>
    </row>
    <row r="2322" spans="4:10" x14ac:dyDescent="0.3">
      <c r="D2322" t="s">
        <v>426</v>
      </c>
      <c r="E2322">
        <v>1600</v>
      </c>
      <c r="F2322">
        <v>2200</v>
      </c>
      <c r="G2322">
        <v>660</v>
      </c>
      <c r="H2322" s="114">
        <v>69100</v>
      </c>
      <c r="I2322" s="114">
        <v>72720</v>
      </c>
      <c r="J2322" s="113"/>
    </row>
    <row r="2323" spans="4:10" x14ac:dyDescent="0.3">
      <c r="F2323">
        <v>2400</v>
      </c>
      <c r="G2323">
        <v>660</v>
      </c>
      <c r="H2323" s="114">
        <v>81530</v>
      </c>
      <c r="I2323" s="114">
        <v>85990</v>
      </c>
      <c r="J2323" s="113"/>
    </row>
    <row r="2324" spans="4:10" x14ac:dyDescent="0.3">
      <c r="E2324">
        <v>1800</v>
      </c>
      <c r="F2324">
        <v>2200</v>
      </c>
      <c r="G2324">
        <v>660</v>
      </c>
      <c r="H2324" s="114">
        <v>72630</v>
      </c>
      <c r="I2324" s="114">
        <v>76680</v>
      </c>
      <c r="J2324" s="113"/>
    </row>
    <row r="2325" spans="4:10" x14ac:dyDescent="0.3">
      <c r="F2325">
        <v>2400</v>
      </c>
      <c r="G2325">
        <v>660</v>
      </c>
      <c r="H2325" s="114">
        <v>85060</v>
      </c>
      <c r="I2325" s="114">
        <v>89950</v>
      </c>
      <c r="J2325" s="113"/>
    </row>
    <row r="2326" spans="4:10" x14ac:dyDescent="0.3">
      <c r="E2326">
        <v>2000</v>
      </c>
      <c r="F2326">
        <v>2200</v>
      </c>
      <c r="G2326">
        <v>660</v>
      </c>
      <c r="H2326" s="114">
        <v>76200</v>
      </c>
      <c r="I2326" s="114">
        <v>80660</v>
      </c>
      <c r="J2326" s="113"/>
    </row>
    <row r="2327" spans="4:10" x14ac:dyDescent="0.3">
      <c r="F2327">
        <v>2400</v>
      </c>
      <c r="G2327">
        <v>660</v>
      </c>
      <c r="H2327" s="114">
        <v>88610</v>
      </c>
      <c r="I2327" s="114">
        <v>93930</v>
      </c>
      <c r="J2327" s="113"/>
    </row>
    <row r="2328" spans="4:10" x14ac:dyDescent="0.3">
      <c r="D2328" t="s">
        <v>427</v>
      </c>
      <c r="E2328">
        <v>1600</v>
      </c>
      <c r="F2328">
        <v>2200</v>
      </c>
      <c r="G2328">
        <v>660</v>
      </c>
      <c r="H2328" s="114">
        <v>65270</v>
      </c>
      <c r="I2328" s="114">
        <v>69210</v>
      </c>
      <c r="J2328" s="113"/>
    </row>
    <row r="2329" spans="4:10" x14ac:dyDescent="0.3">
      <c r="F2329">
        <v>2400</v>
      </c>
      <c r="G2329">
        <v>660</v>
      </c>
      <c r="H2329" s="114">
        <v>77260</v>
      </c>
      <c r="I2329" s="114">
        <v>82040</v>
      </c>
      <c r="J2329" s="113"/>
    </row>
    <row r="2330" spans="4:10" x14ac:dyDescent="0.3">
      <c r="E2330">
        <v>1800</v>
      </c>
      <c r="F2330">
        <v>2200</v>
      </c>
      <c r="G2330">
        <v>660</v>
      </c>
      <c r="H2330" s="114">
        <v>68800</v>
      </c>
      <c r="I2330" s="114">
        <v>73170</v>
      </c>
      <c r="J2330" s="113"/>
    </row>
    <row r="2331" spans="4:10" x14ac:dyDescent="0.3">
      <c r="F2331">
        <v>2400</v>
      </c>
      <c r="G2331">
        <v>660</v>
      </c>
      <c r="H2331" s="114">
        <v>80790</v>
      </c>
      <c r="I2331" s="114">
        <v>86000</v>
      </c>
      <c r="J2331" s="113"/>
    </row>
    <row r="2332" spans="4:10" x14ac:dyDescent="0.3">
      <c r="E2332">
        <v>2000</v>
      </c>
      <c r="F2332">
        <v>2200</v>
      </c>
      <c r="G2332">
        <v>660</v>
      </c>
      <c r="H2332" s="114">
        <v>72370</v>
      </c>
      <c r="I2332" s="114">
        <v>77150</v>
      </c>
      <c r="J2332" s="113"/>
    </row>
    <row r="2333" spans="4:10" x14ac:dyDescent="0.3">
      <c r="F2333">
        <v>2400</v>
      </c>
      <c r="G2333">
        <v>660</v>
      </c>
      <c r="H2333" s="114">
        <v>84340</v>
      </c>
      <c r="I2333" s="114">
        <v>89980</v>
      </c>
      <c r="J2333" s="113"/>
    </row>
    <row r="2334" spans="4:10" x14ac:dyDescent="0.3">
      <c r="D2334" t="s">
        <v>428</v>
      </c>
      <c r="E2334">
        <v>1600</v>
      </c>
      <c r="F2334">
        <v>2200</v>
      </c>
      <c r="G2334">
        <v>660</v>
      </c>
      <c r="H2334" s="114">
        <v>56200</v>
      </c>
      <c r="I2334" s="114">
        <v>59820</v>
      </c>
      <c r="J2334" s="113"/>
    </row>
    <row r="2335" spans="4:10" x14ac:dyDescent="0.3">
      <c r="F2335">
        <v>2400</v>
      </c>
      <c r="G2335">
        <v>660</v>
      </c>
      <c r="H2335" s="114">
        <v>65060</v>
      </c>
      <c r="I2335" s="114">
        <v>69520</v>
      </c>
      <c r="J2335" s="113"/>
    </row>
    <row r="2336" spans="4:10" x14ac:dyDescent="0.3">
      <c r="E2336">
        <v>1800</v>
      </c>
      <c r="F2336">
        <v>2200</v>
      </c>
      <c r="G2336">
        <v>660</v>
      </c>
      <c r="H2336" s="114">
        <v>59730</v>
      </c>
      <c r="I2336" s="114">
        <v>63780</v>
      </c>
      <c r="J2336" s="113"/>
    </row>
    <row r="2337" spans="4:10" x14ac:dyDescent="0.3">
      <c r="F2337">
        <v>2400</v>
      </c>
      <c r="G2337">
        <v>660</v>
      </c>
      <c r="H2337" s="114">
        <v>68590</v>
      </c>
      <c r="I2337" s="114">
        <v>73480</v>
      </c>
      <c r="J2337" s="113"/>
    </row>
    <row r="2338" spans="4:10" x14ac:dyDescent="0.3">
      <c r="E2338">
        <v>2000</v>
      </c>
      <c r="F2338">
        <v>2200</v>
      </c>
      <c r="G2338">
        <v>660</v>
      </c>
      <c r="H2338" s="114">
        <v>63300</v>
      </c>
      <c r="I2338" s="114">
        <v>67760</v>
      </c>
      <c r="J2338" s="113"/>
    </row>
    <row r="2339" spans="4:10" x14ac:dyDescent="0.3">
      <c r="F2339">
        <v>2400</v>
      </c>
      <c r="G2339">
        <v>660</v>
      </c>
      <c r="H2339" s="114">
        <v>72140</v>
      </c>
      <c r="I2339" s="114">
        <v>77460</v>
      </c>
      <c r="J2339" s="113"/>
    </row>
    <row r="2340" spans="4:10" x14ac:dyDescent="0.3">
      <c r="D2340" t="s">
        <v>429</v>
      </c>
      <c r="E2340">
        <v>1600</v>
      </c>
      <c r="F2340">
        <v>2200</v>
      </c>
      <c r="G2340">
        <v>660</v>
      </c>
      <c r="H2340" s="114">
        <v>60500</v>
      </c>
      <c r="I2340" s="114">
        <v>64120</v>
      </c>
      <c r="J2340" s="113"/>
    </row>
    <row r="2341" spans="4:10" x14ac:dyDescent="0.3">
      <c r="F2341">
        <v>2400</v>
      </c>
      <c r="G2341">
        <v>660</v>
      </c>
      <c r="H2341" s="114">
        <v>70550</v>
      </c>
      <c r="I2341" s="114">
        <v>75010</v>
      </c>
      <c r="J2341" s="113"/>
    </row>
    <row r="2342" spans="4:10" x14ac:dyDescent="0.3">
      <c r="E2342">
        <v>1800</v>
      </c>
      <c r="F2342">
        <v>2200</v>
      </c>
      <c r="G2342">
        <v>660</v>
      </c>
      <c r="H2342" s="114">
        <v>64030</v>
      </c>
      <c r="I2342" s="114">
        <v>68080</v>
      </c>
      <c r="J2342" s="113"/>
    </row>
    <row r="2343" spans="4:10" x14ac:dyDescent="0.3">
      <c r="F2343">
        <v>2400</v>
      </c>
      <c r="G2343">
        <v>660</v>
      </c>
      <c r="H2343" s="114">
        <v>74080</v>
      </c>
      <c r="I2343" s="114">
        <v>78970</v>
      </c>
      <c r="J2343" s="113"/>
    </row>
    <row r="2344" spans="4:10" x14ac:dyDescent="0.3">
      <c r="E2344">
        <v>2000</v>
      </c>
      <c r="F2344">
        <v>2200</v>
      </c>
      <c r="G2344">
        <v>660</v>
      </c>
      <c r="H2344" s="114">
        <v>67600</v>
      </c>
      <c r="I2344" s="114">
        <v>72060</v>
      </c>
      <c r="J2344" s="113"/>
    </row>
    <row r="2345" spans="4:10" x14ac:dyDescent="0.3">
      <c r="F2345">
        <v>2400</v>
      </c>
      <c r="G2345">
        <v>660</v>
      </c>
      <c r="H2345" s="114">
        <v>77630</v>
      </c>
      <c r="I2345" s="114">
        <v>82950</v>
      </c>
      <c r="J2345" s="113"/>
    </row>
    <row r="2346" spans="4:10" x14ac:dyDescent="0.3">
      <c r="D2346" t="s">
        <v>430</v>
      </c>
      <c r="E2346">
        <v>1600</v>
      </c>
      <c r="F2346">
        <v>2200</v>
      </c>
      <c r="G2346">
        <v>660</v>
      </c>
      <c r="H2346" s="114">
        <v>55030</v>
      </c>
      <c r="I2346" s="114">
        <v>58650</v>
      </c>
      <c r="J2346" s="113"/>
    </row>
    <row r="2347" spans="4:10" x14ac:dyDescent="0.3">
      <c r="F2347">
        <v>2400</v>
      </c>
      <c r="G2347">
        <v>660</v>
      </c>
      <c r="H2347" s="114">
        <v>63750</v>
      </c>
      <c r="I2347" s="114">
        <v>68210</v>
      </c>
      <c r="J2347" s="113"/>
    </row>
    <row r="2348" spans="4:10" x14ac:dyDescent="0.3">
      <c r="E2348">
        <v>1800</v>
      </c>
      <c r="F2348">
        <v>2200</v>
      </c>
      <c r="G2348">
        <v>660</v>
      </c>
      <c r="H2348" s="114">
        <v>58560</v>
      </c>
      <c r="I2348" s="114">
        <v>62610</v>
      </c>
      <c r="J2348" s="113"/>
    </row>
    <row r="2349" spans="4:10" x14ac:dyDescent="0.3">
      <c r="F2349">
        <v>2400</v>
      </c>
      <c r="G2349">
        <v>660</v>
      </c>
      <c r="H2349" s="114">
        <v>67280</v>
      </c>
      <c r="I2349" s="114">
        <v>72170</v>
      </c>
      <c r="J2349" s="113"/>
    </row>
    <row r="2350" spans="4:10" x14ac:dyDescent="0.3">
      <c r="E2350">
        <v>2000</v>
      </c>
      <c r="F2350">
        <v>2200</v>
      </c>
      <c r="G2350">
        <v>660</v>
      </c>
      <c r="H2350" s="114">
        <v>62130</v>
      </c>
      <c r="I2350" s="114">
        <v>66590</v>
      </c>
      <c r="J2350" s="113"/>
    </row>
    <row r="2351" spans="4:10" x14ac:dyDescent="0.3">
      <c r="F2351">
        <v>2400</v>
      </c>
      <c r="G2351">
        <v>660</v>
      </c>
      <c r="H2351" s="114">
        <v>70830</v>
      </c>
      <c r="I2351" s="114">
        <v>76150</v>
      </c>
      <c r="J2351" s="113"/>
    </row>
    <row r="2352" spans="4:10" x14ac:dyDescent="0.3">
      <c r="D2352" t="s">
        <v>431</v>
      </c>
      <c r="E2352">
        <v>1600</v>
      </c>
      <c r="F2352">
        <v>2200</v>
      </c>
      <c r="G2352">
        <v>660</v>
      </c>
      <c r="H2352" s="114">
        <v>52370</v>
      </c>
      <c r="I2352" s="114">
        <v>56310</v>
      </c>
      <c r="J2352" s="113"/>
    </row>
    <row r="2353" spans="4:10" x14ac:dyDescent="0.3">
      <c r="F2353">
        <v>2400</v>
      </c>
      <c r="G2353">
        <v>660</v>
      </c>
      <c r="H2353" s="114">
        <v>60790</v>
      </c>
      <c r="I2353" s="114">
        <v>65570</v>
      </c>
      <c r="J2353" s="113"/>
    </row>
    <row r="2354" spans="4:10" x14ac:dyDescent="0.3">
      <c r="E2354">
        <v>1800</v>
      </c>
      <c r="F2354">
        <v>2200</v>
      </c>
      <c r="G2354">
        <v>660</v>
      </c>
      <c r="H2354" s="114">
        <v>55900</v>
      </c>
      <c r="I2354" s="114">
        <v>60270</v>
      </c>
      <c r="J2354" s="113"/>
    </row>
    <row r="2355" spans="4:10" x14ac:dyDescent="0.3">
      <c r="F2355">
        <v>2400</v>
      </c>
      <c r="G2355">
        <v>660</v>
      </c>
      <c r="H2355" s="114">
        <v>64320</v>
      </c>
      <c r="I2355" s="114">
        <v>69530</v>
      </c>
      <c r="J2355" s="113"/>
    </row>
    <row r="2356" spans="4:10" x14ac:dyDescent="0.3">
      <c r="E2356">
        <v>2000</v>
      </c>
      <c r="F2356">
        <v>2200</v>
      </c>
      <c r="G2356">
        <v>660</v>
      </c>
      <c r="H2356" s="114">
        <v>59470</v>
      </c>
      <c r="I2356" s="114">
        <v>64250</v>
      </c>
      <c r="J2356" s="113"/>
    </row>
    <row r="2357" spans="4:10" x14ac:dyDescent="0.3">
      <c r="F2357">
        <v>2400</v>
      </c>
      <c r="G2357">
        <v>660</v>
      </c>
      <c r="H2357" s="114">
        <v>67870</v>
      </c>
      <c r="I2357" s="114">
        <v>73510</v>
      </c>
      <c r="J2357" s="113"/>
    </row>
    <row r="2358" spans="4:10" x14ac:dyDescent="0.3">
      <c r="D2358" t="s">
        <v>432</v>
      </c>
      <c r="E2358">
        <v>1600</v>
      </c>
      <c r="F2358">
        <v>2200</v>
      </c>
      <c r="G2358">
        <v>660</v>
      </c>
      <c r="H2358" s="114">
        <v>60500</v>
      </c>
      <c r="I2358" s="114">
        <v>64120</v>
      </c>
      <c r="J2358" s="113"/>
    </row>
    <row r="2359" spans="4:10" x14ac:dyDescent="0.3">
      <c r="F2359">
        <v>2400</v>
      </c>
      <c r="G2359">
        <v>660</v>
      </c>
      <c r="H2359" s="114">
        <v>70550</v>
      </c>
      <c r="I2359" s="114">
        <v>75010</v>
      </c>
      <c r="J2359" s="113"/>
    </row>
    <row r="2360" spans="4:10" x14ac:dyDescent="0.3">
      <c r="E2360">
        <v>1800</v>
      </c>
      <c r="F2360">
        <v>2200</v>
      </c>
      <c r="G2360">
        <v>660</v>
      </c>
      <c r="H2360" s="114">
        <v>64030</v>
      </c>
      <c r="I2360" s="114">
        <v>68080</v>
      </c>
      <c r="J2360" s="113"/>
    </row>
    <row r="2361" spans="4:10" x14ac:dyDescent="0.3">
      <c r="F2361">
        <v>2400</v>
      </c>
      <c r="G2361">
        <v>660</v>
      </c>
      <c r="H2361" s="114">
        <v>74080</v>
      </c>
      <c r="I2361" s="114">
        <v>78970</v>
      </c>
      <c r="J2361" s="113"/>
    </row>
    <row r="2362" spans="4:10" x14ac:dyDescent="0.3">
      <c r="E2362">
        <v>2000</v>
      </c>
      <c r="F2362">
        <v>2200</v>
      </c>
      <c r="G2362">
        <v>660</v>
      </c>
      <c r="H2362" s="114">
        <v>67600</v>
      </c>
      <c r="I2362" s="114">
        <v>72060</v>
      </c>
      <c r="J2362" s="113"/>
    </row>
    <row r="2363" spans="4:10" x14ac:dyDescent="0.3">
      <c r="F2363">
        <v>2400</v>
      </c>
      <c r="G2363">
        <v>660</v>
      </c>
      <c r="H2363" s="114">
        <v>77630</v>
      </c>
      <c r="I2363" s="114">
        <v>82950</v>
      </c>
      <c r="J2363" s="113"/>
    </row>
    <row r="2364" spans="4:10" x14ac:dyDescent="0.3">
      <c r="D2364" t="s">
        <v>433</v>
      </c>
      <c r="E2364">
        <v>1600</v>
      </c>
      <c r="F2364">
        <v>2200</v>
      </c>
      <c r="G2364">
        <v>660</v>
      </c>
      <c r="H2364" s="114">
        <v>60500</v>
      </c>
      <c r="I2364" s="114">
        <v>64120</v>
      </c>
      <c r="J2364" s="113"/>
    </row>
    <row r="2365" spans="4:10" x14ac:dyDescent="0.3">
      <c r="F2365">
        <v>2400</v>
      </c>
      <c r="G2365">
        <v>660</v>
      </c>
      <c r="H2365" s="114">
        <v>70550</v>
      </c>
      <c r="I2365" s="114">
        <v>75010</v>
      </c>
      <c r="J2365" s="113"/>
    </row>
    <row r="2366" spans="4:10" x14ac:dyDescent="0.3">
      <c r="E2366">
        <v>1800</v>
      </c>
      <c r="F2366">
        <v>2200</v>
      </c>
      <c r="G2366">
        <v>660</v>
      </c>
      <c r="H2366" s="114">
        <v>64030</v>
      </c>
      <c r="I2366" s="114">
        <v>68080</v>
      </c>
      <c r="J2366" s="113"/>
    </row>
    <row r="2367" spans="4:10" x14ac:dyDescent="0.3">
      <c r="F2367">
        <v>2400</v>
      </c>
      <c r="G2367">
        <v>660</v>
      </c>
      <c r="H2367" s="114">
        <v>74080</v>
      </c>
      <c r="I2367" s="114">
        <v>78970</v>
      </c>
      <c r="J2367" s="113"/>
    </row>
    <row r="2368" spans="4:10" x14ac:dyDescent="0.3">
      <c r="E2368">
        <v>2000</v>
      </c>
      <c r="F2368">
        <v>2200</v>
      </c>
      <c r="G2368">
        <v>660</v>
      </c>
      <c r="H2368" s="114">
        <v>67600</v>
      </c>
      <c r="I2368" s="114">
        <v>72060</v>
      </c>
      <c r="J2368" s="113"/>
    </row>
    <row r="2369" spans="4:10" x14ac:dyDescent="0.3">
      <c r="F2369">
        <v>2400</v>
      </c>
      <c r="G2369">
        <v>660</v>
      </c>
      <c r="H2369" s="114">
        <v>77630</v>
      </c>
      <c r="I2369" s="114">
        <v>82950</v>
      </c>
      <c r="J2369" s="113"/>
    </row>
    <row r="2370" spans="4:10" x14ac:dyDescent="0.3">
      <c r="D2370" t="s">
        <v>434</v>
      </c>
      <c r="E2370">
        <v>1600</v>
      </c>
      <c r="F2370">
        <v>2200</v>
      </c>
      <c r="G2370">
        <v>660</v>
      </c>
      <c r="H2370" s="114">
        <v>60500</v>
      </c>
      <c r="I2370" s="114">
        <v>64120</v>
      </c>
      <c r="J2370" s="113"/>
    </row>
    <row r="2371" spans="4:10" x14ac:dyDescent="0.3">
      <c r="F2371">
        <v>2400</v>
      </c>
      <c r="G2371">
        <v>660</v>
      </c>
      <c r="H2371" s="114">
        <v>70550</v>
      </c>
      <c r="I2371" s="114">
        <v>75010</v>
      </c>
      <c r="J2371" s="113"/>
    </row>
    <row r="2372" spans="4:10" x14ac:dyDescent="0.3">
      <c r="E2372">
        <v>1800</v>
      </c>
      <c r="F2372">
        <v>2200</v>
      </c>
      <c r="G2372">
        <v>660</v>
      </c>
      <c r="H2372" s="114">
        <v>64030</v>
      </c>
      <c r="I2372" s="114">
        <v>68080</v>
      </c>
      <c r="J2372" s="113"/>
    </row>
    <row r="2373" spans="4:10" x14ac:dyDescent="0.3">
      <c r="F2373">
        <v>2400</v>
      </c>
      <c r="G2373">
        <v>660</v>
      </c>
      <c r="H2373" s="114">
        <v>74080</v>
      </c>
      <c r="I2373" s="114">
        <v>78970</v>
      </c>
      <c r="J2373" s="113"/>
    </row>
    <row r="2374" spans="4:10" x14ac:dyDescent="0.3">
      <c r="E2374">
        <v>2000</v>
      </c>
      <c r="F2374">
        <v>2200</v>
      </c>
      <c r="G2374">
        <v>660</v>
      </c>
      <c r="H2374" s="114">
        <v>67600</v>
      </c>
      <c r="I2374" s="114">
        <v>72060</v>
      </c>
      <c r="J2374" s="113"/>
    </row>
    <row r="2375" spans="4:10" x14ac:dyDescent="0.3">
      <c r="F2375">
        <v>2400</v>
      </c>
      <c r="G2375">
        <v>660</v>
      </c>
      <c r="H2375" s="114">
        <v>77630</v>
      </c>
      <c r="I2375" s="114">
        <v>82950</v>
      </c>
      <c r="J2375" s="113"/>
    </row>
    <row r="2376" spans="4:10" x14ac:dyDescent="0.3">
      <c r="D2376" t="s">
        <v>435</v>
      </c>
      <c r="E2376">
        <v>1600</v>
      </c>
      <c r="F2376">
        <v>2200</v>
      </c>
      <c r="G2376">
        <v>660</v>
      </c>
      <c r="H2376" s="114">
        <v>73400</v>
      </c>
      <c r="I2376" s="114">
        <v>77020</v>
      </c>
      <c r="J2376" s="113"/>
    </row>
    <row r="2377" spans="4:10" x14ac:dyDescent="0.3">
      <c r="F2377">
        <v>2400</v>
      </c>
      <c r="G2377">
        <v>660</v>
      </c>
      <c r="H2377" s="114">
        <v>87020</v>
      </c>
      <c r="I2377" s="114">
        <v>91480</v>
      </c>
      <c r="J2377" s="113"/>
    </row>
    <row r="2378" spans="4:10" x14ac:dyDescent="0.3">
      <c r="E2378">
        <v>1800</v>
      </c>
      <c r="F2378">
        <v>2200</v>
      </c>
      <c r="G2378">
        <v>660</v>
      </c>
      <c r="H2378" s="114">
        <v>76930</v>
      </c>
      <c r="I2378" s="114">
        <v>80980</v>
      </c>
      <c r="J2378" s="113"/>
    </row>
    <row r="2379" spans="4:10" x14ac:dyDescent="0.3">
      <c r="F2379">
        <v>2400</v>
      </c>
      <c r="G2379">
        <v>660</v>
      </c>
      <c r="H2379" s="114">
        <v>90550</v>
      </c>
      <c r="I2379" s="114">
        <v>95440</v>
      </c>
      <c r="J2379" s="113"/>
    </row>
    <row r="2380" spans="4:10" x14ac:dyDescent="0.3">
      <c r="E2380">
        <v>2000</v>
      </c>
      <c r="F2380">
        <v>2200</v>
      </c>
      <c r="G2380">
        <v>660</v>
      </c>
      <c r="H2380" s="114">
        <v>80500</v>
      </c>
      <c r="I2380" s="114">
        <v>84960</v>
      </c>
      <c r="J2380" s="113"/>
    </row>
    <row r="2381" spans="4:10" x14ac:dyDescent="0.3">
      <c r="F2381">
        <v>2400</v>
      </c>
      <c r="G2381">
        <v>660</v>
      </c>
      <c r="H2381" s="114">
        <v>94100</v>
      </c>
      <c r="I2381" s="114">
        <v>99420</v>
      </c>
      <c r="J2381" s="113"/>
    </row>
    <row r="2382" spans="4:10" x14ac:dyDescent="0.3">
      <c r="D2382" t="s">
        <v>436</v>
      </c>
      <c r="E2382">
        <v>1600</v>
      </c>
      <c r="F2382">
        <v>2200</v>
      </c>
      <c r="G2382">
        <v>660</v>
      </c>
      <c r="H2382" s="114">
        <v>69100</v>
      </c>
      <c r="I2382" s="114">
        <v>72720</v>
      </c>
      <c r="J2382" s="113"/>
    </row>
    <row r="2383" spans="4:10" x14ac:dyDescent="0.3">
      <c r="F2383">
        <v>2400</v>
      </c>
      <c r="G2383">
        <v>660</v>
      </c>
      <c r="H2383" s="114">
        <v>81530</v>
      </c>
      <c r="I2383" s="114">
        <v>85990</v>
      </c>
      <c r="J2383" s="113"/>
    </row>
    <row r="2384" spans="4:10" x14ac:dyDescent="0.3">
      <c r="E2384">
        <v>1800</v>
      </c>
      <c r="F2384">
        <v>2200</v>
      </c>
      <c r="G2384">
        <v>660</v>
      </c>
      <c r="H2384" s="114">
        <v>72630</v>
      </c>
      <c r="I2384" s="114">
        <v>76680</v>
      </c>
      <c r="J2384" s="113"/>
    </row>
    <row r="2385" spans="4:10" x14ac:dyDescent="0.3">
      <c r="F2385">
        <v>2400</v>
      </c>
      <c r="G2385">
        <v>660</v>
      </c>
      <c r="H2385" s="114">
        <v>85060</v>
      </c>
      <c r="I2385" s="114">
        <v>89950</v>
      </c>
      <c r="J2385" s="113"/>
    </row>
    <row r="2386" spans="4:10" x14ac:dyDescent="0.3">
      <c r="E2386">
        <v>2000</v>
      </c>
      <c r="F2386">
        <v>2200</v>
      </c>
      <c r="G2386">
        <v>660</v>
      </c>
      <c r="H2386" s="114">
        <v>76200</v>
      </c>
      <c r="I2386" s="114">
        <v>80660</v>
      </c>
      <c r="J2386" s="113"/>
    </row>
    <row r="2387" spans="4:10" x14ac:dyDescent="0.3">
      <c r="F2387">
        <v>2400</v>
      </c>
      <c r="G2387">
        <v>660</v>
      </c>
      <c r="H2387" s="114">
        <v>88610</v>
      </c>
      <c r="I2387" s="114">
        <v>93930</v>
      </c>
      <c r="J2387" s="113"/>
    </row>
    <row r="2388" spans="4:10" x14ac:dyDescent="0.3">
      <c r="D2388" t="s">
        <v>437</v>
      </c>
      <c r="E2388">
        <v>1600</v>
      </c>
      <c r="F2388">
        <v>2200</v>
      </c>
      <c r="G2388">
        <v>660</v>
      </c>
      <c r="H2388" s="114">
        <v>67930</v>
      </c>
      <c r="I2388" s="114">
        <v>71550</v>
      </c>
      <c r="J2388" s="113"/>
    </row>
    <row r="2389" spans="4:10" x14ac:dyDescent="0.3">
      <c r="F2389">
        <v>2400</v>
      </c>
      <c r="G2389">
        <v>660</v>
      </c>
      <c r="H2389" s="114">
        <v>80220</v>
      </c>
      <c r="I2389" s="114">
        <v>84680</v>
      </c>
      <c r="J2389" s="113"/>
    </row>
    <row r="2390" spans="4:10" x14ac:dyDescent="0.3">
      <c r="E2390">
        <v>1800</v>
      </c>
      <c r="F2390">
        <v>2200</v>
      </c>
      <c r="G2390">
        <v>660</v>
      </c>
      <c r="H2390" s="114">
        <v>71460</v>
      </c>
      <c r="I2390" s="114">
        <v>75510</v>
      </c>
      <c r="J2390" s="113"/>
    </row>
    <row r="2391" spans="4:10" x14ac:dyDescent="0.3">
      <c r="F2391">
        <v>2400</v>
      </c>
      <c r="G2391">
        <v>660</v>
      </c>
      <c r="H2391" s="114">
        <v>83750</v>
      </c>
      <c r="I2391" s="114">
        <v>88640</v>
      </c>
      <c r="J2391" s="113"/>
    </row>
    <row r="2392" spans="4:10" x14ac:dyDescent="0.3">
      <c r="E2392">
        <v>2000</v>
      </c>
      <c r="F2392">
        <v>2200</v>
      </c>
      <c r="G2392">
        <v>660</v>
      </c>
      <c r="H2392" s="114">
        <v>75030</v>
      </c>
      <c r="I2392" s="114">
        <v>79490</v>
      </c>
      <c r="J2392" s="113"/>
    </row>
    <row r="2393" spans="4:10" x14ac:dyDescent="0.3">
      <c r="F2393">
        <v>2400</v>
      </c>
      <c r="G2393">
        <v>660</v>
      </c>
      <c r="H2393" s="114">
        <v>87300</v>
      </c>
      <c r="I2393" s="114">
        <v>92620</v>
      </c>
      <c r="J2393" s="113"/>
    </row>
    <row r="2394" spans="4:10" x14ac:dyDescent="0.3">
      <c r="D2394" t="s">
        <v>438</v>
      </c>
      <c r="E2394">
        <v>1600</v>
      </c>
      <c r="F2394">
        <v>2200</v>
      </c>
      <c r="G2394">
        <v>660</v>
      </c>
      <c r="H2394" s="114">
        <v>73400</v>
      </c>
      <c r="I2394" s="114">
        <v>77020</v>
      </c>
      <c r="J2394" s="113"/>
    </row>
    <row r="2395" spans="4:10" x14ac:dyDescent="0.3">
      <c r="F2395">
        <v>2400</v>
      </c>
      <c r="G2395">
        <v>660</v>
      </c>
      <c r="H2395" s="114">
        <v>87020</v>
      </c>
      <c r="I2395" s="114">
        <v>91480</v>
      </c>
      <c r="J2395" s="113"/>
    </row>
    <row r="2396" spans="4:10" x14ac:dyDescent="0.3">
      <c r="E2396">
        <v>1800</v>
      </c>
      <c r="F2396">
        <v>2200</v>
      </c>
      <c r="G2396">
        <v>660</v>
      </c>
      <c r="H2396" s="114">
        <v>76930</v>
      </c>
      <c r="I2396" s="114">
        <v>80980</v>
      </c>
      <c r="J2396" s="113"/>
    </row>
    <row r="2397" spans="4:10" x14ac:dyDescent="0.3">
      <c r="F2397">
        <v>2400</v>
      </c>
      <c r="G2397">
        <v>660</v>
      </c>
      <c r="H2397" s="114">
        <v>90550</v>
      </c>
      <c r="I2397" s="114">
        <v>95440</v>
      </c>
      <c r="J2397" s="113"/>
    </row>
    <row r="2398" spans="4:10" x14ac:dyDescent="0.3">
      <c r="E2398">
        <v>2000</v>
      </c>
      <c r="F2398">
        <v>2200</v>
      </c>
      <c r="G2398">
        <v>660</v>
      </c>
      <c r="H2398" s="114">
        <v>80500</v>
      </c>
      <c r="I2398" s="114">
        <v>84960</v>
      </c>
      <c r="J2398" s="113"/>
    </row>
    <row r="2399" spans="4:10" x14ac:dyDescent="0.3">
      <c r="F2399">
        <v>2400</v>
      </c>
      <c r="G2399">
        <v>660</v>
      </c>
      <c r="H2399" s="114">
        <v>94100</v>
      </c>
      <c r="I2399" s="114">
        <v>99420</v>
      </c>
      <c r="J2399" s="113"/>
    </row>
    <row r="2400" spans="4:10" x14ac:dyDescent="0.3">
      <c r="D2400" t="s">
        <v>439</v>
      </c>
      <c r="E2400">
        <v>1600</v>
      </c>
      <c r="F2400">
        <v>2200</v>
      </c>
      <c r="G2400">
        <v>660</v>
      </c>
      <c r="H2400" s="114">
        <v>73400</v>
      </c>
      <c r="I2400" s="114">
        <v>77020</v>
      </c>
      <c r="J2400" s="113"/>
    </row>
    <row r="2401" spans="4:10" x14ac:dyDescent="0.3">
      <c r="F2401">
        <v>2400</v>
      </c>
      <c r="G2401">
        <v>660</v>
      </c>
      <c r="H2401" s="114">
        <v>87020</v>
      </c>
      <c r="I2401" s="114">
        <v>91480</v>
      </c>
      <c r="J2401" s="113"/>
    </row>
    <row r="2402" spans="4:10" x14ac:dyDescent="0.3">
      <c r="E2402">
        <v>1800</v>
      </c>
      <c r="F2402">
        <v>2200</v>
      </c>
      <c r="G2402">
        <v>660</v>
      </c>
      <c r="H2402" s="114">
        <v>76930</v>
      </c>
      <c r="I2402" s="114">
        <v>80980</v>
      </c>
      <c r="J2402" s="113"/>
    </row>
    <row r="2403" spans="4:10" x14ac:dyDescent="0.3">
      <c r="F2403">
        <v>2400</v>
      </c>
      <c r="G2403">
        <v>660</v>
      </c>
      <c r="H2403" s="114">
        <v>90550</v>
      </c>
      <c r="I2403" s="114">
        <v>95440</v>
      </c>
      <c r="J2403" s="113"/>
    </row>
    <row r="2404" spans="4:10" x14ac:dyDescent="0.3">
      <c r="E2404">
        <v>2000</v>
      </c>
      <c r="F2404">
        <v>2200</v>
      </c>
      <c r="G2404">
        <v>660</v>
      </c>
      <c r="H2404" s="114">
        <v>80500</v>
      </c>
      <c r="I2404" s="114">
        <v>84960</v>
      </c>
      <c r="J2404" s="113"/>
    </row>
    <row r="2405" spans="4:10" x14ac:dyDescent="0.3">
      <c r="F2405">
        <v>2400</v>
      </c>
      <c r="G2405">
        <v>660</v>
      </c>
      <c r="H2405" s="114">
        <v>94100</v>
      </c>
      <c r="I2405" s="114">
        <v>99420</v>
      </c>
      <c r="J2405" s="113"/>
    </row>
    <row r="2406" spans="4:10" x14ac:dyDescent="0.3">
      <c r="D2406" t="s">
        <v>440</v>
      </c>
      <c r="E2406">
        <v>1600</v>
      </c>
      <c r="F2406">
        <v>2200</v>
      </c>
      <c r="G2406">
        <v>660</v>
      </c>
      <c r="H2406" s="114">
        <v>69100</v>
      </c>
      <c r="I2406" s="114">
        <v>72720</v>
      </c>
      <c r="J2406" s="113"/>
    </row>
    <row r="2407" spans="4:10" x14ac:dyDescent="0.3">
      <c r="F2407">
        <v>2400</v>
      </c>
      <c r="G2407">
        <v>660</v>
      </c>
      <c r="H2407" s="114">
        <v>81530</v>
      </c>
      <c r="I2407" s="114">
        <v>85990</v>
      </c>
      <c r="J2407" s="113"/>
    </row>
    <row r="2408" spans="4:10" x14ac:dyDescent="0.3">
      <c r="E2408">
        <v>1800</v>
      </c>
      <c r="F2408">
        <v>2200</v>
      </c>
      <c r="G2408">
        <v>660</v>
      </c>
      <c r="H2408" s="114">
        <v>72630</v>
      </c>
      <c r="I2408" s="114">
        <v>76680</v>
      </c>
      <c r="J2408" s="113"/>
    </row>
    <row r="2409" spans="4:10" x14ac:dyDescent="0.3">
      <c r="F2409">
        <v>2400</v>
      </c>
      <c r="G2409">
        <v>660</v>
      </c>
      <c r="H2409" s="114">
        <v>85060</v>
      </c>
      <c r="I2409" s="114">
        <v>89950</v>
      </c>
      <c r="J2409" s="113"/>
    </row>
    <row r="2410" spans="4:10" x14ac:dyDescent="0.3">
      <c r="E2410">
        <v>2000</v>
      </c>
      <c r="F2410">
        <v>2200</v>
      </c>
      <c r="G2410">
        <v>660</v>
      </c>
      <c r="H2410" s="114">
        <v>76200</v>
      </c>
      <c r="I2410" s="114">
        <v>80660</v>
      </c>
      <c r="J2410" s="113"/>
    </row>
    <row r="2411" spans="4:10" x14ac:dyDescent="0.3">
      <c r="F2411">
        <v>2400</v>
      </c>
      <c r="G2411">
        <v>660</v>
      </c>
      <c r="H2411" s="114">
        <v>88610</v>
      </c>
      <c r="I2411" s="114">
        <v>93930</v>
      </c>
      <c r="J2411" s="113"/>
    </row>
    <row r="2412" spans="4:10" x14ac:dyDescent="0.3">
      <c r="D2412" t="s">
        <v>441</v>
      </c>
      <c r="E2412">
        <v>1600</v>
      </c>
      <c r="F2412">
        <v>2200</v>
      </c>
      <c r="G2412">
        <v>660</v>
      </c>
      <c r="H2412" s="114">
        <v>60500</v>
      </c>
      <c r="I2412" s="114">
        <v>64120</v>
      </c>
      <c r="J2412" s="113"/>
    </row>
    <row r="2413" spans="4:10" x14ac:dyDescent="0.3">
      <c r="F2413">
        <v>2400</v>
      </c>
      <c r="G2413">
        <v>660</v>
      </c>
      <c r="H2413" s="114">
        <v>70550</v>
      </c>
      <c r="I2413" s="114">
        <v>75010</v>
      </c>
      <c r="J2413" s="113"/>
    </row>
    <row r="2414" spans="4:10" x14ac:dyDescent="0.3">
      <c r="E2414">
        <v>1800</v>
      </c>
      <c r="F2414">
        <v>2200</v>
      </c>
      <c r="G2414">
        <v>660</v>
      </c>
      <c r="H2414" s="114">
        <v>64030</v>
      </c>
      <c r="I2414" s="114">
        <v>68080</v>
      </c>
      <c r="J2414" s="113"/>
    </row>
    <row r="2415" spans="4:10" x14ac:dyDescent="0.3">
      <c r="F2415">
        <v>2400</v>
      </c>
      <c r="G2415">
        <v>660</v>
      </c>
      <c r="H2415" s="114">
        <v>74080</v>
      </c>
      <c r="I2415" s="114">
        <v>78970</v>
      </c>
      <c r="J2415" s="113"/>
    </row>
    <row r="2416" spans="4:10" x14ac:dyDescent="0.3">
      <c r="E2416">
        <v>2000</v>
      </c>
      <c r="F2416">
        <v>2200</v>
      </c>
      <c r="G2416">
        <v>660</v>
      </c>
      <c r="H2416" s="114">
        <v>67600</v>
      </c>
      <c r="I2416" s="114">
        <v>72060</v>
      </c>
      <c r="J2416" s="113"/>
    </row>
    <row r="2417" spans="4:10" x14ac:dyDescent="0.3">
      <c r="F2417">
        <v>2400</v>
      </c>
      <c r="G2417">
        <v>660</v>
      </c>
      <c r="H2417" s="114">
        <v>77630</v>
      </c>
      <c r="I2417" s="114">
        <v>82950</v>
      </c>
      <c r="J2417" s="113"/>
    </row>
    <row r="2418" spans="4:10" x14ac:dyDescent="0.3">
      <c r="D2418" t="s">
        <v>442</v>
      </c>
      <c r="E2418">
        <v>1600</v>
      </c>
      <c r="F2418">
        <v>2200</v>
      </c>
      <c r="G2418">
        <v>660</v>
      </c>
      <c r="H2418" s="114">
        <v>55030</v>
      </c>
      <c r="I2418" s="114">
        <v>58650</v>
      </c>
      <c r="J2418" s="113"/>
    </row>
    <row r="2419" spans="4:10" x14ac:dyDescent="0.3">
      <c r="F2419">
        <v>2400</v>
      </c>
      <c r="G2419">
        <v>660</v>
      </c>
      <c r="H2419" s="114">
        <v>63750</v>
      </c>
      <c r="I2419" s="114">
        <v>68210</v>
      </c>
      <c r="J2419" s="113"/>
    </row>
    <row r="2420" spans="4:10" x14ac:dyDescent="0.3">
      <c r="E2420">
        <v>1800</v>
      </c>
      <c r="F2420">
        <v>2200</v>
      </c>
      <c r="G2420">
        <v>660</v>
      </c>
      <c r="H2420" s="114">
        <v>58560</v>
      </c>
      <c r="I2420" s="114">
        <v>62610</v>
      </c>
      <c r="J2420" s="113"/>
    </row>
    <row r="2421" spans="4:10" x14ac:dyDescent="0.3">
      <c r="F2421">
        <v>2400</v>
      </c>
      <c r="G2421">
        <v>660</v>
      </c>
      <c r="H2421" s="114">
        <v>67280</v>
      </c>
      <c r="I2421" s="114">
        <v>72170</v>
      </c>
      <c r="J2421" s="113"/>
    </row>
    <row r="2422" spans="4:10" x14ac:dyDescent="0.3">
      <c r="E2422">
        <v>2000</v>
      </c>
      <c r="F2422">
        <v>2200</v>
      </c>
      <c r="G2422">
        <v>660</v>
      </c>
      <c r="H2422" s="114">
        <v>62130</v>
      </c>
      <c r="I2422" s="114">
        <v>66590</v>
      </c>
      <c r="J2422" s="113"/>
    </row>
    <row r="2423" spans="4:10" x14ac:dyDescent="0.3">
      <c r="F2423">
        <v>2400</v>
      </c>
      <c r="G2423">
        <v>660</v>
      </c>
      <c r="H2423" s="114">
        <v>70830</v>
      </c>
      <c r="I2423" s="114">
        <v>76150</v>
      </c>
      <c r="J2423" s="113"/>
    </row>
    <row r="2424" spans="4:10" x14ac:dyDescent="0.3">
      <c r="D2424" t="s">
        <v>443</v>
      </c>
      <c r="E2424">
        <v>1600</v>
      </c>
      <c r="F2424">
        <v>2200</v>
      </c>
      <c r="G2424">
        <v>660</v>
      </c>
      <c r="H2424" s="114">
        <v>52370</v>
      </c>
      <c r="I2424" s="114">
        <v>56310</v>
      </c>
      <c r="J2424" s="113"/>
    </row>
    <row r="2425" spans="4:10" x14ac:dyDescent="0.3">
      <c r="F2425">
        <v>2400</v>
      </c>
      <c r="G2425">
        <v>660</v>
      </c>
      <c r="H2425" s="114">
        <v>60790</v>
      </c>
      <c r="I2425" s="114">
        <v>65570</v>
      </c>
      <c r="J2425" s="113"/>
    </row>
    <row r="2426" spans="4:10" x14ac:dyDescent="0.3">
      <c r="E2426">
        <v>1800</v>
      </c>
      <c r="F2426">
        <v>2200</v>
      </c>
      <c r="G2426">
        <v>660</v>
      </c>
      <c r="H2426" s="114">
        <v>55900</v>
      </c>
      <c r="I2426" s="114">
        <v>60270</v>
      </c>
      <c r="J2426" s="113"/>
    </row>
    <row r="2427" spans="4:10" x14ac:dyDescent="0.3">
      <c r="F2427">
        <v>2400</v>
      </c>
      <c r="G2427">
        <v>660</v>
      </c>
      <c r="H2427" s="114">
        <v>64320</v>
      </c>
      <c r="I2427" s="114">
        <v>69530</v>
      </c>
      <c r="J2427" s="113"/>
    </row>
    <row r="2428" spans="4:10" x14ac:dyDescent="0.3">
      <c r="E2428">
        <v>2000</v>
      </c>
      <c r="F2428">
        <v>2200</v>
      </c>
      <c r="G2428">
        <v>660</v>
      </c>
      <c r="H2428" s="114">
        <v>59470</v>
      </c>
      <c r="I2428" s="114">
        <v>64250</v>
      </c>
      <c r="J2428" s="113"/>
    </row>
    <row r="2429" spans="4:10" x14ac:dyDescent="0.3">
      <c r="F2429">
        <v>2400</v>
      </c>
      <c r="G2429">
        <v>660</v>
      </c>
      <c r="H2429" s="114">
        <v>67870</v>
      </c>
      <c r="I2429" s="114">
        <v>73510</v>
      </c>
      <c r="J2429" s="113"/>
    </row>
    <row r="2430" spans="4:10" x14ac:dyDescent="0.3">
      <c r="D2430" t="s">
        <v>444</v>
      </c>
      <c r="E2430">
        <v>1600</v>
      </c>
      <c r="F2430">
        <v>2200</v>
      </c>
      <c r="G2430">
        <v>660</v>
      </c>
      <c r="H2430" s="114">
        <v>60500</v>
      </c>
      <c r="I2430" s="114">
        <v>64120</v>
      </c>
      <c r="J2430" s="113"/>
    </row>
    <row r="2431" spans="4:10" x14ac:dyDescent="0.3">
      <c r="F2431">
        <v>2400</v>
      </c>
      <c r="G2431">
        <v>660</v>
      </c>
      <c r="H2431" s="114">
        <v>70550</v>
      </c>
      <c r="I2431" s="114">
        <v>75010</v>
      </c>
      <c r="J2431" s="113"/>
    </row>
    <row r="2432" spans="4:10" x14ac:dyDescent="0.3">
      <c r="E2432">
        <v>1800</v>
      </c>
      <c r="F2432">
        <v>2200</v>
      </c>
      <c r="G2432">
        <v>660</v>
      </c>
      <c r="H2432" s="114">
        <v>64030</v>
      </c>
      <c r="I2432" s="114">
        <v>68080</v>
      </c>
      <c r="J2432" s="113"/>
    </row>
    <row r="2433" spans="4:10" x14ac:dyDescent="0.3">
      <c r="F2433">
        <v>2400</v>
      </c>
      <c r="G2433">
        <v>660</v>
      </c>
      <c r="H2433" s="114">
        <v>74080</v>
      </c>
      <c r="I2433" s="114">
        <v>78970</v>
      </c>
      <c r="J2433" s="113"/>
    </row>
    <row r="2434" spans="4:10" x14ac:dyDescent="0.3">
      <c r="E2434">
        <v>2000</v>
      </c>
      <c r="F2434">
        <v>2200</v>
      </c>
      <c r="G2434">
        <v>660</v>
      </c>
      <c r="H2434" s="114">
        <v>67600</v>
      </c>
      <c r="I2434" s="114">
        <v>72060</v>
      </c>
      <c r="J2434" s="113"/>
    </row>
    <row r="2435" spans="4:10" x14ac:dyDescent="0.3">
      <c r="F2435">
        <v>2400</v>
      </c>
      <c r="G2435">
        <v>660</v>
      </c>
      <c r="H2435" s="114">
        <v>77630</v>
      </c>
      <c r="I2435" s="114">
        <v>82950</v>
      </c>
      <c r="J2435" s="113"/>
    </row>
    <row r="2436" spans="4:10" x14ac:dyDescent="0.3">
      <c r="D2436" t="s">
        <v>445</v>
      </c>
      <c r="E2436">
        <v>1600</v>
      </c>
      <c r="F2436">
        <v>2200</v>
      </c>
      <c r="G2436">
        <v>660</v>
      </c>
      <c r="H2436" s="114">
        <v>60500</v>
      </c>
      <c r="I2436" s="114">
        <v>64120</v>
      </c>
      <c r="J2436" s="113"/>
    </row>
    <row r="2437" spans="4:10" x14ac:dyDescent="0.3">
      <c r="F2437">
        <v>2400</v>
      </c>
      <c r="G2437">
        <v>660</v>
      </c>
      <c r="H2437" s="114">
        <v>70550</v>
      </c>
      <c r="I2437" s="114">
        <v>75010</v>
      </c>
      <c r="J2437" s="113"/>
    </row>
    <row r="2438" spans="4:10" x14ac:dyDescent="0.3">
      <c r="E2438">
        <v>1800</v>
      </c>
      <c r="F2438">
        <v>2200</v>
      </c>
      <c r="G2438">
        <v>660</v>
      </c>
      <c r="H2438" s="114">
        <v>64030</v>
      </c>
      <c r="I2438" s="114">
        <v>68080</v>
      </c>
      <c r="J2438" s="113"/>
    </row>
    <row r="2439" spans="4:10" x14ac:dyDescent="0.3">
      <c r="F2439">
        <v>2400</v>
      </c>
      <c r="G2439">
        <v>660</v>
      </c>
      <c r="H2439" s="114">
        <v>74080</v>
      </c>
      <c r="I2439" s="114">
        <v>78970</v>
      </c>
      <c r="J2439" s="113"/>
    </row>
    <row r="2440" spans="4:10" x14ac:dyDescent="0.3">
      <c r="E2440">
        <v>2000</v>
      </c>
      <c r="F2440">
        <v>2200</v>
      </c>
      <c r="G2440">
        <v>660</v>
      </c>
      <c r="H2440" s="114">
        <v>67600</v>
      </c>
      <c r="I2440" s="114">
        <v>72060</v>
      </c>
      <c r="J2440" s="113"/>
    </row>
    <row r="2441" spans="4:10" x14ac:dyDescent="0.3">
      <c r="F2441">
        <v>2400</v>
      </c>
      <c r="G2441">
        <v>660</v>
      </c>
      <c r="H2441" s="114">
        <v>77630</v>
      </c>
      <c r="I2441" s="114">
        <v>82950</v>
      </c>
      <c r="J2441" s="113"/>
    </row>
    <row r="2442" spans="4:10" x14ac:dyDescent="0.3">
      <c r="D2442" t="s">
        <v>446</v>
      </c>
      <c r="E2442">
        <v>1600</v>
      </c>
      <c r="F2442">
        <v>2200</v>
      </c>
      <c r="G2442">
        <v>660</v>
      </c>
      <c r="H2442" s="114">
        <v>60500</v>
      </c>
      <c r="I2442" s="114">
        <v>64120</v>
      </c>
      <c r="J2442" s="113"/>
    </row>
    <row r="2443" spans="4:10" x14ac:dyDescent="0.3">
      <c r="F2443">
        <v>2400</v>
      </c>
      <c r="G2443">
        <v>660</v>
      </c>
      <c r="H2443" s="114">
        <v>70550</v>
      </c>
      <c r="I2443" s="114">
        <v>75010</v>
      </c>
      <c r="J2443" s="113"/>
    </row>
    <row r="2444" spans="4:10" x14ac:dyDescent="0.3">
      <c r="E2444">
        <v>1800</v>
      </c>
      <c r="F2444">
        <v>2200</v>
      </c>
      <c r="G2444">
        <v>660</v>
      </c>
      <c r="H2444" s="114">
        <v>64030</v>
      </c>
      <c r="I2444" s="114">
        <v>68080</v>
      </c>
      <c r="J2444" s="113"/>
    </row>
    <row r="2445" spans="4:10" x14ac:dyDescent="0.3">
      <c r="F2445">
        <v>2400</v>
      </c>
      <c r="G2445">
        <v>660</v>
      </c>
      <c r="H2445" s="114">
        <v>74080</v>
      </c>
      <c r="I2445" s="114">
        <v>78970</v>
      </c>
      <c r="J2445" s="113"/>
    </row>
    <row r="2446" spans="4:10" x14ac:dyDescent="0.3">
      <c r="E2446">
        <v>2000</v>
      </c>
      <c r="F2446">
        <v>2200</v>
      </c>
      <c r="G2446">
        <v>660</v>
      </c>
      <c r="H2446" s="114">
        <v>67600</v>
      </c>
      <c r="I2446" s="114">
        <v>72060</v>
      </c>
      <c r="J2446" s="113"/>
    </row>
    <row r="2447" spans="4:10" x14ac:dyDescent="0.3">
      <c r="F2447">
        <v>2400</v>
      </c>
      <c r="G2447">
        <v>660</v>
      </c>
      <c r="H2447" s="114">
        <v>77630</v>
      </c>
      <c r="I2447" s="114">
        <v>82950</v>
      </c>
      <c r="J2447" s="113"/>
    </row>
    <row r="2448" spans="4:10" x14ac:dyDescent="0.3">
      <c r="D2448" t="s">
        <v>447</v>
      </c>
      <c r="E2448">
        <v>1600</v>
      </c>
      <c r="F2448">
        <v>2200</v>
      </c>
      <c r="G2448">
        <v>660</v>
      </c>
      <c r="H2448" s="114">
        <v>56200</v>
      </c>
      <c r="I2448" s="114">
        <v>59820</v>
      </c>
      <c r="J2448" s="113"/>
    </row>
    <row r="2449" spans="4:10" x14ac:dyDescent="0.3">
      <c r="F2449">
        <v>2400</v>
      </c>
      <c r="G2449">
        <v>660</v>
      </c>
      <c r="H2449" s="114">
        <v>65060</v>
      </c>
      <c r="I2449" s="114">
        <v>69520</v>
      </c>
      <c r="J2449" s="113"/>
    </row>
    <row r="2450" spans="4:10" x14ac:dyDescent="0.3">
      <c r="E2450">
        <v>1800</v>
      </c>
      <c r="F2450">
        <v>2200</v>
      </c>
      <c r="G2450">
        <v>660</v>
      </c>
      <c r="H2450" s="114">
        <v>59730</v>
      </c>
      <c r="I2450" s="114">
        <v>63780</v>
      </c>
      <c r="J2450" s="113"/>
    </row>
    <row r="2451" spans="4:10" x14ac:dyDescent="0.3">
      <c r="F2451">
        <v>2400</v>
      </c>
      <c r="G2451">
        <v>660</v>
      </c>
      <c r="H2451" s="114">
        <v>68590</v>
      </c>
      <c r="I2451" s="114">
        <v>73480</v>
      </c>
      <c r="J2451" s="113"/>
    </row>
    <row r="2452" spans="4:10" x14ac:dyDescent="0.3">
      <c r="E2452">
        <v>2000</v>
      </c>
      <c r="F2452">
        <v>2200</v>
      </c>
      <c r="G2452">
        <v>660</v>
      </c>
      <c r="H2452" s="114">
        <v>63300</v>
      </c>
      <c r="I2452" s="114">
        <v>67760</v>
      </c>
      <c r="J2452" s="113"/>
    </row>
    <row r="2453" spans="4:10" x14ac:dyDescent="0.3">
      <c r="F2453">
        <v>2400</v>
      </c>
      <c r="G2453">
        <v>660</v>
      </c>
      <c r="H2453" s="114">
        <v>72140</v>
      </c>
      <c r="I2453" s="114">
        <v>77460</v>
      </c>
      <c r="J2453" s="113"/>
    </row>
    <row r="2454" spans="4:10" x14ac:dyDescent="0.3">
      <c r="D2454" t="s">
        <v>448</v>
      </c>
      <c r="E2454">
        <v>1600</v>
      </c>
      <c r="F2454">
        <v>2200</v>
      </c>
      <c r="G2454">
        <v>660</v>
      </c>
      <c r="H2454" s="114">
        <v>69100</v>
      </c>
      <c r="I2454" s="114">
        <v>72720</v>
      </c>
      <c r="J2454" s="113"/>
    </row>
    <row r="2455" spans="4:10" x14ac:dyDescent="0.3">
      <c r="F2455">
        <v>2400</v>
      </c>
      <c r="G2455">
        <v>660</v>
      </c>
      <c r="H2455" s="114">
        <v>81530</v>
      </c>
      <c r="I2455" s="114">
        <v>85990</v>
      </c>
      <c r="J2455" s="113"/>
    </row>
    <row r="2456" spans="4:10" x14ac:dyDescent="0.3">
      <c r="E2456">
        <v>1800</v>
      </c>
      <c r="F2456">
        <v>2200</v>
      </c>
      <c r="G2456">
        <v>660</v>
      </c>
      <c r="H2456" s="114">
        <v>72630</v>
      </c>
      <c r="I2456" s="114">
        <v>76680</v>
      </c>
      <c r="J2456" s="113"/>
    </row>
    <row r="2457" spans="4:10" x14ac:dyDescent="0.3">
      <c r="F2457">
        <v>2400</v>
      </c>
      <c r="G2457">
        <v>660</v>
      </c>
      <c r="H2457" s="114">
        <v>85060</v>
      </c>
      <c r="I2457" s="114">
        <v>89950</v>
      </c>
      <c r="J2457" s="113"/>
    </row>
    <row r="2458" spans="4:10" x14ac:dyDescent="0.3">
      <c r="E2458">
        <v>2000</v>
      </c>
      <c r="F2458">
        <v>2200</v>
      </c>
      <c r="G2458">
        <v>660</v>
      </c>
      <c r="H2458" s="114">
        <v>76200</v>
      </c>
      <c r="I2458" s="114">
        <v>80660</v>
      </c>
      <c r="J2458" s="113"/>
    </row>
    <row r="2459" spans="4:10" x14ac:dyDescent="0.3">
      <c r="F2459">
        <v>2400</v>
      </c>
      <c r="G2459">
        <v>660</v>
      </c>
      <c r="H2459" s="114">
        <v>88610</v>
      </c>
      <c r="I2459" s="114">
        <v>93930</v>
      </c>
      <c r="J2459" s="113"/>
    </row>
    <row r="2460" spans="4:10" x14ac:dyDescent="0.3">
      <c r="D2460" t="s">
        <v>449</v>
      </c>
      <c r="E2460">
        <v>1600</v>
      </c>
      <c r="F2460">
        <v>2200</v>
      </c>
      <c r="G2460">
        <v>660</v>
      </c>
      <c r="H2460" s="114">
        <v>67930</v>
      </c>
      <c r="I2460" s="114">
        <v>71550</v>
      </c>
      <c r="J2460" s="113"/>
    </row>
    <row r="2461" spans="4:10" x14ac:dyDescent="0.3">
      <c r="F2461">
        <v>2400</v>
      </c>
      <c r="G2461">
        <v>660</v>
      </c>
      <c r="H2461" s="114">
        <v>80220</v>
      </c>
      <c r="I2461" s="114">
        <v>84680</v>
      </c>
      <c r="J2461" s="113"/>
    </row>
    <row r="2462" spans="4:10" x14ac:dyDescent="0.3">
      <c r="E2462">
        <v>1800</v>
      </c>
      <c r="F2462">
        <v>2200</v>
      </c>
      <c r="G2462">
        <v>660</v>
      </c>
      <c r="H2462" s="114">
        <v>71460</v>
      </c>
      <c r="I2462" s="114">
        <v>75510</v>
      </c>
      <c r="J2462" s="113"/>
    </row>
    <row r="2463" spans="4:10" x14ac:dyDescent="0.3">
      <c r="F2463">
        <v>2400</v>
      </c>
      <c r="G2463">
        <v>660</v>
      </c>
      <c r="H2463" s="114">
        <v>83750</v>
      </c>
      <c r="I2463" s="114">
        <v>88640</v>
      </c>
      <c r="J2463" s="113"/>
    </row>
    <row r="2464" spans="4:10" x14ac:dyDescent="0.3">
      <c r="E2464">
        <v>2000</v>
      </c>
      <c r="F2464">
        <v>2200</v>
      </c>
      <c r="G2464">
        <v>660</v>
      </c>
      <c r="H2464" s="114">
        <v>75030</v>
      </c>
      <c r="I2464" s="114">
        <v>79490</v>
      </c>
      <c r="J2464" s="113"/>
    </row>
    <row r="2465" spans="4:10" x14ac:dyDescent="0.3">
      <c r="F2465">
        <v>2400</v>
      </c>
      <c r="G2465">
        <v>660</v>
      </c>
      <c r="H2465" s="114">
        <v>87300</v>
      </c>
      <c r="I2465" s="114">
        <v>92620</v>
      </c>
      <c r="J2465" s="113"/>
    </row>
    <row r="2466" spans="4:10" x14ac:dyDescent="0.3">
      <c r="D2466" t="s">
        <v>450</v>
      </c>
      <c r="E2466">
        <v>1600</v>
      </c>
      <c r="F2466">
        <v>2200</v>
      </c>
      <c r="G2466">
        <v>660</v>
      </c>
      <c r="H2466" s="114">
        <v>65270</v>
      </c>
      <c r="I2466" s="114">
        <v>69210</v>
      </c>
      <c r="J2466" s="113"/>
    </row>
    <row r="2467" spans="4:10" x14ac:dyDescent="0.3">
      <c r="F2467">
        <v>2400</v>
      </c>
      <c r="G2467">
        <v>660</v>
      </c>
      <c r="H2467" s="114">
        <v>77260</v>
      </c>
      <c r="I2467" s="114">
        <v>82040</v>
      </c>
      <c r="J2467" s="113"/>
    </row>
    <row r="2468" spans="4:10" x14ac:dyDescent="0.3">
      <c r="E2468">
        <v>1800</v>
      </c>
      <c r="F2468">
        <v>2200</v>
      </c>
      <c r="G2468">
        <v>660</v>
      </c>
      <c r="H2468" s="114">
        <v>68800</v>
      </c>
      <c r="I2468" s="114">
        <v>73170</v>
      </c>
      <c r="J2468" s="113"/>
    </row>
    <row r="2469" spans="4:10" x14ac:dyDescent="0.3">
      <c r="F2469">
        <v>2400</v>
      </c>
      <c r="G2469">
        <v>660</v>
      </c>
      <c r="H2469" s="114">
        <v>80790</v>
      </c>
      <c r="I2469" s="114">
        <v>86000</v>
      </c>
      <c r="J2469" s="113"/>
    </row>
    <row r="2470" spans="4:10" x14ac:dyDescent="0.3">
      <c r="E2470">
        <v>2000</v>
      </c>
      <c r="F2470">
        <v>2200</v>
      </c>
      <c r="G2470">
        <v>660</v>
      </c>
      <c r="H2470" s="114">
        <v>72370</v>
      </c>
      <c r="I2470" s="114">
        <v>77150</v>
      </c>
      <c r="J2470" s="113"/>
    </row>
    <row r="2471" spans="4:10" x14ac:dyDescent="0.3">
      <c r="F2471">
        <v>2400</v>
      </c>
      <c r="G2471">
        <v>660</v>
      </c>
      <c r="H2471" s="114">
        <v>84340</v>
      </c>
      <c r="I2471" s="114">
        <v>89980</v>
      </c>
      <c r="J2471" s="113"/>
    </row>
    <row r="2472" spans="4:10" x14ac:dyDescent="0.3">
      <c r="D2472" t="s">
        <v>451</v>
      </c>
      <c r="E2472">
        <v>1600</v>
      </c>
      <c r="F2472">
        <v>2200</v>
      </c>
      <c r="G2472">
        <v>660</v>
      </c>
      <c r="H2472" s="114">
        <v>73400</v>
      </c>
      <c r="I2472" s="114">
        <v>77020</v>
      </c>
      <c r="J2472" s="113"/>
    </row>
    <row r="2473" spans="4:10" x14ac:dyDescent="0.3">
      <c r="F2473">
        <v>2400</v>
      </c>
      <c r="G2473">
        <v>660</v>
      </c>
      <c r="H2473" s="114">
        <v>87020</v>
      </c>
      <c r="I2473" s="114">
        <v>91480</v>
      </c>
      <c r="J2473" s="113"/>
    </row>
    <row r="2474" spans="4:10" x14ac:dyDescent="0.3">
      <c r="E2474">
        <v>1800</v>
      </c>
      <c r="F2474">
        <v>2200</v>
      </c>
      <c r="G2474">
        <v>660</v>
      </c>
      <c r="H2474" s="114">
        <v>76930</v>
      </c>
      <c r="I2474" s="114">
        <v>80980</v>
      </c>
      <c r="J2474" s="113"/>
    </row>
    <row r="2475" spans="4:10" x14ac:dyDescent="0.3">
      <c r="F2475">
        <v>2400</v>
      </c>
      <c r="G2475">
        <v>660</v>
      </c>
      <c r="H2475" s="114">
        <v>90550</v>
      </c>
      <c r="I2475" s="114">
        <v>95440</v>
      </c>
      <c r="J2475" s="113"/>
    </row>
    <row r="2476" spans="4:10" x14ac:dyDescent="0.3">
      <c r="E2476">
        <v>2000</v>
      </c>
      <c r="F2476">
        <v>2200</v>
      </c>
      <c r="G2476">
        <v>660</v>
      </c>
      <c r="H2476" s="114">
        <v>80500</v>
      </c>
      <c r="I2476" s="114">
        <v>84960</v>
      </c>
      <c r="J2476" s="113"/>
    </row>
    <row r="2477" spans="4:10" x14ac:dyDescent="0.3">
      <c r="F2477">
        <v>2400</v>
      </c>
      <c r="G2477">
        <v>660</v>
      </c>
      <c r="H2477" s="114">
        <v>94100</v>
      </c>
      <c r="I2477" s="114">
        <v>99420</v>
      </c>
      <c r="J2477" s="113"/>
    </row>
    <row r="2478" spans="4:10" x14ac:dyDescent="0.3">
      <c r="D2478" t="s">
        <v>452</v>
      </c>
      <c r="E2478">
        <v>1600</v>
      </c>
      <c r="F2478">
        <v>2200</v>
      </c>
      <c r="G2478">
        <v>660</v>
      </c>
      <c r="H2478" s="114">
        <v>73400</v>
      </c>
      <c r="I2478" s="114">
        <v>77020</v>
      </c>
      <c r="J2478" s="113"/>
    </row>
    <row r="2479" spans="4:10" x14ac:dyDescent="0.3">
      <c r="F2479">
        <v>2400</v>
      </c>
      <c r="G2479">
        <v>660</v>
      </c>
      <c r="H2479" s="114">
        <v>87020</v>
      </c>
      <c r="I2479" s="114">
        <v>91480</v>
      </c>
      <c r="J2479" s="113"/>
    </row>
    <row r="2480" spans="4:10" x14ac:dyDescent="0.3">
      <c r="E2480">
        <v>1800</v>
      </c>
      <c r="F2480">
        <v>2200</v>
      </c>
      <c r="G2480">
        <v>660</v>
      </c>
      <c r="H2480" s="114">
        <v>76930</v>
      </c>
      <c r="I2480" s="114">
        <v>80980</v>
      </c>
      <c r="J2480" s="113"/>
    </row>
    <row r="2481" spans="4:10" x14ac:dyDescent="0.3">
      <c r="F2481">
        <v>2400</v>
      </c>
      <c r="G2481">
        <v>660</v>
      </c>
      <c r="H2481" s="114">
        <v>90550</v>
      </c>
      <c r="I2481" s="114">
        <v>95440</v>
      </c>
      <c r="J2481" s="113"/>
    </row>
    <row r="2482" spans="4:10" x14ac:dyDescent="0.3">
      <c r="E2482">
        <v>2000</v>
      </c>
      <c r="F2482">
        <v>2200</v>
      </c>
      <c r="G2482">
        <v>660</v>
      </c>
      <c r="H2482" s="114">
        <v>80500</v>
      </c>
      <c r="I2482" s="114">
        <v>84960</v>
      </c>
      <c r="J2482" s="113"/>
    </row>
    <row r="2483" spans="4:10" x14ac:dyDescent="0.3">
      <c r="F2483">
        <v>2400</v>
      </c>
      <c r="G2483">
        <v>660</v>
      </c>
      <c r="H2483" s="114">
        <v>94100</v>
      </c>
      <c r="I2483" s="114">
        <v>99420</v>
      </c>
      <c r="J2483" s="113"/>
    </row>
    <row r="2484" spans="4:10" x14ac:dyDescent="0.3">
      <c r="D2484" t="s">
        <v>453</v>
      </c>
      <c r="E2484">
        <v>1600</v>
      </c>
      <c r="F2484">
        <v>2200</v>
      </c>
      <c r="G2484">
        <v>660</v>
      </c>
      <c r="H2484" s="114">
        <v>73400</v>
      </c>
      <c r="I2484" s="114">
        <v>77020</v>
      </c>
      <c r="J2484" s="113"/>
    </row>
    <row r="2485" spans="4:10" x14ac:dyDescent="0.3">
      <c r="F2485">
        <v>2400</v>
      </c>
      <c r="G2485">
        <v>660</v>
      </c>
      <c r="H2485" s="114">
        <v>87020</v>
      </c>
      <c r="I2485" s="114">
        <v>91480</v>
      </c>
      <c r="J2485" s="113"/>
    </row>
    <row r="2486" spans="4:10" x14ac:dyDescent="0.3">
      <c r="E2486">
        <v>1800</v>
      </c>
      <c r="F2486">
        <v>2200</v>
      </c>
      <c r="G2486">
        <v>660</v>
      </c>
      <c r="H2486" s="114">
        <v>76930</v>
      </c>
      <c r="I2486" s="114">
        <v>80980</v>
      </c>
      <c r="J2486" s="113"/>
    </row>
    <row r="2487" spans="4:10" x14ac:dyDescent="0.3">
      <c r="F2487">
        <v>2400</v>
      </c>
      <c r="G2487">
        <v>660</v>
      </c>
      <c r="H2487" s="114">
        <v>90550</v>
      </c>
      <c r="I2487" s="114">
        <v>95440</v>
      </c>
      <c r="J2487" s="113"/>
    </row>
    <row r="2488" spans="4:10" x14ac:dyDescent="0.3">
      <c r="E2488">
        <v>2000</v>
      </c>
      <c r="F2488">
        <v>2200</v>
      </c>
      <c r="G2488">
        <v>660</v>
      </c>
      <c r="H2488" s="114">
        <v>80500</v>
      </c>
      <c r="I2488" s="114">
        <v>84960</v>
      </c>
      <c r="J2488" s="113"/>
    </row>
    <row r="2489" spans="4:10" x14ac:dyDescent="0.3">
      <c r="F2489">
        <v>2400</v>
      </c>
      <c r="G2489">
        <v>660</v>
      </c>
      <c r="H2489" s="114">
        <v>94100</v>
      </c>
      <c r="I2489" s="114">
        <v>99420</v>
      </c>
      <c r="J2489" s="113"/>
    </row>
    <row r="2490" spans="4:10" x14ac:dyDescent="0.3">
      <c r="D2490" t="s">
        <v>454</v>
      </c>
      <c r="E2490">
        <v>1600</v>
      </c>
      <c r="F2490">
        <v>2200</v>
      </c>
      <c r="G2490">
        <v>660</v>
      </c>
      <c r="H2490" s="114">
        <v>69100</v>
      </c>
      <c r="I2490" s="114">
        <v>72720</v>
      </c>
      <c r="J2490" s="113"/>
    </row>
    <row r="2491" spans="4:10" x14ac:dyDescent="0.3">
      <c r="F2491">
        <v>2400</v>
      </c>
      <c r="G2491">
        <v>660</v>
      </c>
      <c r="H2491" s="114">
        <v>81530</v>
      </c>
      <c r="I2491" s="114">
        <v>85990</v>
      </c>
      <c r="J2491" s="113"/>
    </row>
    <row r="2492" spans="4:10" x14ac:dyDescent="0.3">
      <c r="E2492">
        <v>1800</v>
      </c>
      <c r="F2492">
        <v>2200</v>
      </c>
      <c r="G2492">
        <v>660</v>
      </c>
      <c r="H2492" s="114">
        <v>72630</v>
      </c>
      <c r="I2492" s="114">
        <v>76680</v>
      </c>
      <c r="J2492" s="113"/>
    </row>
    <row r="2493" spans="4:10" x14ac:dyDescent="0.3">
      <c r="F2493">
        <v>2400</v>
      </c>
      <c r="G2493">
        <v>660</v>
      </c>
      <c r="H2493" s="114">
        <v>85060</v>
      </c>
      <c r="I2493" s="114">
        <v>89950</v>
      </c>
      <c r="J2493" s="113"/>
    </row>
    <row r="2494" spans="4:10" x14ac:dyDescent="0.3">
      <c r="E2494">
        <v>2000</v>
      </c>
      <c r="F2494">
        <v>2200</v>
      </c>
      <c r="G2494">
        <v>660</v>
      </c>
      <c r="H2494" s="114">
        <v>76200</v>
      </c>
      <c r="I2494" s="114">
        <v>80660</v>
      </c>
      <c r="J2494" s="113"/>
    </row>
    <row r="2495" spans="4:10" x14ac:dyDescent="0.3">
      <c r="F2495">
        <v>2400</v>
      </c>
      <c r="G2495">
        <v>660</v>
      </c>
      <c r="H2495" s="114">
        <v>88610</v>
      </c>
      <c r="I2495" s="114">
        <v>93930</v>
      </c>
      <c r="J2495" s="113"/>
    </row>
    <row r="2496" spans="4:10" x14ac:dyDescent="0.3">
      <c r="D2496" t="s">
        <v>455</v>
      </c>
      <c r="E2496">
        <v>1600</v>
      </c>
      <c r="F2496">
        <v>2200</v>
      </c>
      <c r="G2496">
        <v>660</v>
      </c>
      <c r="H2496" s="114">
        <v>56990</v>
      </c>
      <c r="I2496" s="114">
        <v>60610</v>
      </c>
      <c r="J2496" s="113"/>
    </row>
    <row r="2497" spans="4:10" x14ac:dyDescent="0.3">
      <c r="F2497">
        <v>2400</v>
      </c>
      <c r="G2497">
        <v>660</v>
      </c>
      <c r="H2497" s="114">
        <v>66620</v>
      </c>
      <c r="I2497" s="114">
        <v>71080</v>
      </c>
      <c r="J2497" s="113"/>
    </row>
    <row r="2498" spans="4:10" x14ac:dyDescent="0.3">
      <c r="E2498">
        <v>1800</v>
      </c>
      <c r="F2498">
        <v>2200</v>
      </c>
      <c r="G2498">
        <v>660</v>
      </c>
      <c r="H2498" s="114">
        <v>60520</v>
      </c>
      <c r="I2498" s="114">
        <v>64570</v>
      </c>
      <c r="J2498" s="113"/>
    </row>
    <row r="2499" spans="4:10" x14ac:dyDescent="0.3">
      <c r="F2499">
        <v>2400</v>
      </c>
      <c r="G2499">
        <v>660</v>
      </c>
      <c r="H2499" s="114">
        <v>70150</v>
      </c>
      <c r="I2499" s="114">
        <v>75040</v>
      </c>
      <c r="J2499" s="113"/>
    </row>
    <row r="2500" spans="4:10" x14ac:dyDescent="0.3">
      <c r="E2500">
        <v>2000</v>
      </c>
      <c r="F2500">
        <v>2200</v>
      </c>
      <c r="G2500">
        <v>660</v>
      </c>
      <c r="H2500" s="114">
        <v>64090</v>
      </c>
      <c r="I2500" s="114">
        <v>68550</v>
      </c>
      <c r="J2500" s="113"/>
    </row>
    <row r="2501" spans="4:10" x14ac:dyDescent="0.3">
      <c r="F2501">
        <v>2400</v>
      </c>
      <c r="G2501">
        <v>660</v>
      </c>
      <c r="H2501" s="114">
        <v>73700</v>
      </c>
      <c r="I2501" s="114">
        <v>79020</v>
      </c>
      <c r="J2501" s="113"/>
    </row>
    <row r="2502" spans="4:10" x14ac:dyDescent="0.3">
      <c r="D2502" t="s">
        <v>456</v>
      </c>
      <c r="E2502">
        <v>1600</v>
      </c>
      <c r="F2502">
        <v>2200</v>
      </c>
      <c r="G2502">
        <v>660</v>
      </c>
      <c r="H2502" s="114">
        <v>52690</v>
      </c>
      <c r="I2502" s="114">
        <v>56310</v>
      </c>
      <c r="J2502" s="113"/>
    </row>
    <row r="2503" spans="4:10" x14ac:dyDescent="0.3">
      <c r="F2503">
        <v>2400</v>
      </c>
      <c r="G2503">
        <v>660</v>
      </c>
      <c r="H2503" s="114">
        <v>61130</v>
      </c>
      <c r="I2503" s="114">
        <v>65590</v>
      </c>
      <c r="J2503" s="113"/>
    </row>
    <row r="2504" spans="4:10" x14ac:dyDescent="0.3">
      <c r="E2504">
        <v>1800</v>
      </c>
      <c r="F2504">
        <v>2200</v>
      </c>
      <c r="G2504">
        <v>660</v>
      </c>
      <c r="H2504" s="114">
        <v>56220</v>
      </c>
      <c r="I2504" s="114">
        <v>60270</v>
      </c>
      <c r="J2504" s="113"/>
    </row>
    <row r="2505" spans="4:10" x14ac:dyDescent="0.3">
      <c r="F2505">
        <v>2400</v>
      </c>
      <c r="G2505">
        <v>660</v>
      </c>
      <c r="H2505" s="114">
        <v>64660</v>
      </c>
      <c r="I2505" s="114">
        <v>69550</v>
      </c>
      <c r="J2505" s="113"/>
    </row>
    <row r="2506" spans="4:10" x14ac:dyDescent="0.3">
      <c r="E2506">
        <v>2000</v>
      </c>
      <c r="F2506">
        <v>2200</v>
      </c>
      <c r="G2506">
        <v>660</v>
      </c>
      <c r="H2506" s="114">
        <v>59790</v>
      </c>
      <c r="I2506" s="114">
        <v>64250</v>
      </c>
      <c r="J2506" s="113"/>
    </row>
    <row r="2507" spans="4:10" x14ac:dyDescent="0.3">
      <c r="F2507">
        <v>2400</v>
      </c>
      <c r="G2507">
        <v>660</v>
      </c>
      <c r="H2507" s="114">
        <v>68210</v>
      </c>
      <c r="I2507" s="114">
        <v>73530</v>
      </c>
      <c r="J2507" s="113"/>
    </row>
    <row r="2508" spans="4:10" x14ac:dyDescent="0.3">
      <c r="D2508" t="s">
        <v>457</v>
      </c>
      <c r="E2508">
        <v>1600</v>
      </c>
      <c r="F2508">
        <v>2200</v>
      </c>
      <c r="G2508">
        <v>660</v>
      </c>
      <c r="H2508" s="114">
        <v>48860</v>
      </c>
      <c r="I2508" s="114">
        <v>52800</v>
      </c>
      <c r="J2508" s="113"/>
    </row>
    <row r="2509" spans="4:10" x14ac:dyDescent="0.3">
      <c r="F2509">
        <v>2400</v>
      </c>
      <c r="G2509">
        <v>660</v>
      </c>
      <c r="H2509" s="114">
        <v>56860</v>
      </c>
      <c r="I2509" s="114">
        <v>61640</v>
      </c>
      <c r="J2509" s="113"/>
    </row>
    <row r="2510" spans="4:10" x14ac:dyDescent="0.3">
      <c r="E2510">
        <v>1800</v>
      </c>
      <c r="F2510">
        <v>2200</v>
      </c>
      <c r="G2510">
        <v>660</v>
      </c>
      <c r="H2510" s="114">
        <v>52390</v>
      </c>
      <c r="I2510" s="114">
        <v>56760</v>
      </c>
      <c r="J2510" s="113"/>
    </row>
    <row r="2511" spans="4:10" x14ac:dyDescent="0.3">
      <c r="F2511">
        <v>2400</v>
      </c>
      <c r="G2511">
        <v>660</v>
      </c>
      <c r="H2511" s="114">
        <v>60390</v>
      </c>
      <c r="I2511" s="114">
        <v>65600</v>
      </c>
      <c r="J2511" s="113"/>
    </row>
    <row r="2512" spans="4:10" x14ac:dyDescent="0.3">
      <c r="E2512">
        <v>2000</v>
      </c>
      <c r="F2512">
        <v>2200</v>
      </c>
      <c r="G2512">
        <v>660</v>
      </c>
      <c r="H2512" s="114">
        <v>55960</v>
      </c>
      <c r="I2512" s="114">
        <v>60740</v>
      </c>
      <c r="J2512" s="113"/>
    </row>
    <row r="2513" spans="4:10" x14ac:dyDescent="0.3">
      <c r="F2513">
        <v>2400</v>
      </c>
      <c r="G2513">
        <v>660</v>
      </c>
      <c r="H2513" s="114">
        <v>63940</v>
      </c>
      <c r="I2513" s="114">
        <v>69580</v>
      </c>
      <c r="J2513" s="113"/>
    </row>
    <row r="2514" spans="4:10" x14ac:dyDescent="0.3">
      <c r="D2514" t="s">
        <v>458</v>
      </c>
      <c r="E2514">
        <v>1600</v>
      </c>
      <c r="F2514">
        <v>2200</v>
      </c>
      <c r="G2514">
        <v>660</v>
      </c>
      <c r="H2514" s="114">
        <v>56990</v>
      </c>
      <c r="I2514" s="114">
        <v>60610</v>
      </c>
      <c r="J2514" s="113"/>
    </row>
    <row r="2515" spans="4:10" x14ac:dyDescent="0.3">
      <c r="F2515">
        <v>2400</v>
      </c>
      <c r="G2515">
        <v>660</v>
      </c>
      <c r="H2515" s="114">
        <v>66620</v>
      </c>
      <c r="I2515" s="114">
        <v>71080</v>
      </c>
      <c r="J2515" s="113"/>
    </row>
    <row r="2516" spans="4:10" x14ac:dyDescent="0.3">
      <c r="E2516">
        <v>1800</v>
      </c>
      <c r="F2516">
        <v>2200</v>
      </c>
      <c r="G2516">
        <v>660</v>
      </c>
      <c r="H2516" s="114">
        <v>60520</v>
      </c>
      <c r="I2516" s="114">
        <v>64570</v>
      </c>
      <c r="J2516" s="113"/>
    </row>
    <row r="2517" spans="4:10" x14ac:dyDescent="0.3">
      <c r="F2517">
        <v>2400</v>
      </c>
      <c r="G2517">
        <v>660</v>
      </c>
      <c r="H2517" s="114">
        <v>70150</v>
      </c>
      <c r="I2517" s="114">
        <v>75040</v>
      </c>
      <c r="J2517" s="113"/>
    </row>
    <row r="2518" spans="4:10" x14ac:dyDescent="0.3">
      <c r="E2518">
        <v>2000</v>
      </c>
      <c r="F2518">
        <v>2200</v>
      </c>
      <c r="G2518">
        <v>660</v>
      </c>
      <c r="H2518" s="114">
        <v>64090</v>
      </c>
      <c r="I2518" s="114">
        <v>68550</v>
      </c>
      <c r="J2518" s="113"/>
    </row>
    <row r="2519" spans="4:10" x14ac:dyDescent="0.3">
      <c r="F2519">
        <v>2400</v>
      </c>
      <c r="G2519">
        <v>660</v>
      </c>
      <c r="H2519" s="114">
        <v>73700</v>
      </c>
      <c r="I2519" s="114">
        <v>79020</v>
      </c>
      <c r="J2519" s="113"/>
    </row>
    <row r="2520" spans="4:10" x14ac:dyDescent="0.3">
      <c r="D2520" t="s">
        <v>459</v>
      </c>
      <c r="E2520">
        <v>1600</v>
      </c>
      <c r="F2520">
        <v>2200</v>
      </c>
      <c r="G2520">
        <v>660</v>
      </c>
      <c r="H2520" s="114">
        <v>56990</v>
      </c>
      <c r="I2520" s="114">
        <v>60610</v>
      </c>
      <c r="J2520" s="113"/>
    </row>
    <row r="2521" spans="4:10" x14ac:dyDescent="0.3">
      <c r="F2521">
        <v>2400</v>
      </c>
      <c r="G2521">
        <v>660</v>
      </c>
      <c r="H2521" s="114">
        <v>66620</v>
      </c>
      <c r="I2521" s="114">
        <v>71080</v>
      </c>
      <c r="J2521" s="113"/>
    </row>
    <row r="2522" spans="4:10" x14ac:dyDescent="0.3">
      <c r="E2522">
        <v>1800</v>
      </c>
      <c r="F2522">
        <v>2200</v>
      </c>
      <c r="G2522">
        <v>660</v>
      </c>
      <c r="H2522" s="114">
        <v>60520</v>
      </c>
      <c r="I2522" s="114">
        <v>64570</v>
      </c>
      <c r="J2522" s="113"/>
    </row>
    <row r="2523" spans="4:10" x14ac:dyDescent="0.3">
      <c r="F2523">
        <v>2400</v>
      </c>
      <c r="G2523">
        <v>660</v>
      </c>
      <c r="H2523" s="114">
        <v>70150</v>
      </c>
      <c r="I2523" s="114">
        <v>75040</v>
      </c>
      <c r="J2523" s="113"/>
    </row>
    <row r="2524" spans="4:10" x14ac:dyDescent="0.3">
      <c r="E2524">
        <v>2000</v>
      </c>
      <c r="F2524">
        <v>2200</v>
      </c>
      <c r="G2524">
        <v>660</v>
      </c>
      <c r="H2524" s="114">
        <v>64090</v>
      </c>
      <c r="I2524" s="114">
        <v>68550</v>
      </c>
      <c r="J2524" s="113"/>
    </row>
    <row r="2525" spans="4:10" x14ac:dyDescent="0.3">
      <c r="F2525">
        <v>2400</v>
      </c>
      <c r="G2525">
        <v>660</v>
      </c>
      <c r="H2525" s="114">
        <v>73700</v>
      </c>
      <c r="I2525" s="114">
        <v>79020</v>
      </c>
      <c r="J2525" s="113"/>
    </row>
    <row r="2526" spans="4:10" x14ac:dyDescent="0.3">
      <c r="D2526" t="s">
        <v>460</v>
      </c>
      <c r="E2526">
        <v>1600</v>
      </c>
      <c r="F2526">
        <v>2200</v>
      </c>
      <c r="G2526">
        <v>660</v>
      </c>
      <c r="H2526" s="114">
        <v>56990</v>
      </c>
      <c r="I2526" s="114">
        <v>60610</v>
      </c>
      <c r="J2526" s="113"/>
    </row>
    <row r="2527" spans="4:10" x14ac:dyDescent="0.3">
      <c r="F2527">
        <v>2400</v>
      </c>
      <c r="G2527">
        <v>660</v>
      </c>
      <c r="H2527" s="114">
        <v>66620</v>
      </c>
      <c r="I2527" s="114">
        <v>71080</v>
      </c>
      <c r="J2527" s="113"/>
    </row>
    <row r="2528" spans="4:10" x14ac:dyDescent="0.3">
      <c r="E2528">
        <v>1800</v>
      </c>
      <c r="F2528">
        <v>2200</v>
      </c>
      <c r="G2528">
        <v>660</v>
      </c>
      <c r="H2528" s="114">
        <v>60520</v>
      </c>
      <c r="I2528" s="114">
        <v>64570</v>
      </c>
      <c r="J2528" s="113"/>
    </row>
    <row r="2529" spans="4:10" x14ac:dyDescent="0.3">
      <c r="F2529">
        <v>2400</v>
      </c>
      <c r="G2529">
        <v>660</v>
      </c>
      <c r="H2529" s="114">
        <v>70150</v>
      </c>
      <c r="I2529" s="114">
        <v>75040</v>
      </c>
      <c r="J2529" s="113"/>
    </row>
    <row r="2530" spans="4:10" x14ac:dyDescent="0.3">
      <c r="E2530">
        <v>2000</v>
      </c>
      <c r="F2530">
        <v>2200</v>
      </c>
      <c r="G2530">
        <v>660</v>
      </c>
      <c r="H2530" s="114">
        <v>64090</v>
      </c>
      <c r="I2530" s="114">
        <v>68550</v>
      </c>
      <c r="J2530" s="113"/>
    </row>
    <row r="2531" spans="4:10" x14ac:dyDescent="0.3">
      <c r="F2531">
        <v>2400</v>
      </c>
      <c r="G2531">
        <v>660</v>
      </c>
      <c r="H2531" s="114">
        <v>73700</v>
      </c>
      <c r="I2531" s="114">
        <v>79020</v>
      </c>
      <c r="J2531" s="113"/>
    </row>
    <row r="2532" spans="4:10" x14ac:dyDescent="0.3">
      <c r="D2532" t="s">
        <v>461</v>
      </c>
      <c r="E2532">
        <v>1600</v>
      </c>
      <c r="F2532">
        <v>2200</v>
      </c>
      <c r="G2532">
        <v>660</v>
      </c>
      <c r="H2532" s="114">
        <v>52690</v>
      </c>
      <c r="I2532" s="114">
        <v>56310</v>
      </c>
      <c r="J2532" s="113"/>
    </row>
    <row r="2533" spans="4:10" x14ac:dyDescent="0.3">
      <c r="F2533">
        <v>2400</v>
      </c>
      <c r="G2533">
        <v>660</v>
      </c>
      <c r="H2533" s="114">
        <v>61130</v>
      </c>
      <c r="I2533" s="114">
        <v>65590</v>
      </c>
      <c r="J2533" s="113"/>
    </row>
    <row r="2534" spans="4:10" x14ac:dyDescent="0.3">
      <c r="E2534">
        <v>1800</v>
      </c>
      <c r="F2534">
        <v>2200</v>
      </c>
      <c r="G2534">
        <v>660</v>
      </c>
      <c r="H2534" s="114">
        <v>56220</v>
      </c>
      <c r="I2534" s="114">
        <v>60270</v>
      </c>
      <c r="J2534" s="113"/>
    </row>
    <row r="2535" spans="4:10" x14ac:dyDescent="0.3">
      <c r="F2535">
        <v>2400</v>
      </c>
      <c r="G2535">
        <v>660</v>
      </c>
      <c r="H2535" s="114">
        <v>64660</v>
      </c>
      <c r="I2535" s="114">
        <v>69550</v>
      </c>
      <c r="J2535" s="113"/>
    </row>
    <row r="2536" spans="4:10" x14ac:dyDescent="0.3">
      <c r="E2536">
        <v>2000</v>
      </c>
      <c r="F2536">
        <v>2200</v>
      </c>
      <c r="G2536">
        <v>660</v>
      </c>
      <c r="H2536" s="114">
        <v>59790</v>
      </c>
      <c r="I2536" s="114">
        <v>64250</v>
      </c>
      <c r="J2536" s="113"/>
    </row>
    <row r="2537" spans="4:10" x14ac:dyDescent="0.3">
      <c r="F2537">
        <v>2400</v>
      </c>
      <c r="G2537">
        <v>660</v>
      </c>
      <c r="H2537" s="114">
        <v>68210</v>
      </c>
      <c r="I2537" s="114">
        <v>73530</v>
      </c>
      <c r="J2537" s="113"/>
    </row>
    <row r="2538" spans="4:10" x14ac:dyDescent="0.3">
      <c r="D2538" t="s">
        <v>462</v>
      </c>
      <c r="E2538">
        <v>1600</v>
      </c>
      <c r="F2538">
        <v>2200</v>
      </c>
      <c r="G2538">
        <v>660</v>
      </c>
      <c r="H2538" s="114">
        <v>49010</v>
      </c>
      <c r="I2538" s="114">
        <v>53590</v>
      </c>
      <c r="J2538" s="113"/>
    </row>
    <row r="2539" spans="4:10" x14ac:dyDescent="0.3">
      <c r="F2539">
        <v>2400</v>
      </c>
      <c r="G2539">
        <v>660</v>
      </c>
      <c r="H2539" s="114">
        <v>57740</v>
      </c>
      <c r="I2539" s="114">
        <v>63160</v>
      </c>
      <c r="J2539" s="113"/>
    </row>
    <row r="2540" spans="4:10" x14ac:dyDescent="0.3">
      <c r="E2540">
        <v>1800</v>
      </c>
      <c r="F2540">
        <v>2200</v>
      </c>
      <c r="G2540">
        <v>660</v>
      </c>
      <c r="H2540" s="114">
        <v>52540</v>
      </c>
      <c r="I2540" s="114">
        <v>57550</v>
      </c>
      <c r="J2540" s="113"/>
    </row>
    <row r="2541" spans="4:10" x14ac:dyDescent="0.3">
      <c r="F2541">
        <v>2400</v>
      </c>
      <c r="G2541">
        <v>660</v>
      </c>
      <c r="H2541" s="114">
        <v>61270</v>
      </c>
      <c r="I2541" s="114">
        <v>67120</v>
      </c>
      <c r="J2541" s="113"/>
    </row>
    <row r="2542" spans="4:10" x14ac:dyDescent="0.3">
      <c r="E2542">
        <v>2000</v>
      </c>
      <c r="F2542">
        <v>2200</v>
      </c>
      <c r="G2542">
        <v>660</v>
      </c>
      <c r="H2542" s="114">
        <v>56110</v>
      </c>
      <c r="I2542" s="114">
        <v>61530</v>
      </c>
      <c r="J2542" s="113"/>
    </row>
    <row r="2543" spans="4:10" x14ac:dyDescent="0.3">
      <c r="F2543">
        <v>2400</v>
      </c>
      <c r="G2543">
        <v>660</v>
      </c>
      <c r="H2543" s="114">
        <v>64820</v>
      </c>
      <c r="I2543" s="114">
        <v>71100</v>
      </c>
      <c r="J2543" s="113"/>
    </row>
    <row r="2544" spans="4:10" x14ac:dyDescent="0.3">
      <c r="D2544" t="s">
        <v>463</v>
      </c>
      <c r="E2544">
        <v>1600</v>
      </c>
      <c r="F2544">
        <v>2200</v>
      </c>
      <c r="G2544">
        <v>660</v>
      </c>
      <c r="H2544" s="114">
        <v>44710</v>
      </c>
      <c r="I2544" s="114">
        <v>49290</v>
      </c>
      <c r="J2544" s="113"/>
    </row>
    <row r="2545" spans="4:10" x14ac:dyDescent="0.3">
      <c r="F2545">
        <v>2400</v>
      </c>
      <c r="G2545">
        <v>660</v>
      </c>
      <c r="H2545" s="114">
        <v>52250</v>
      </c>
      <c r="I2545" s="114">
        <v>57670</v>
      </c>
      <c r="J2545" s="113"/>
    </row>
    <row r="2546" spans="4:10" x14ac:dyDescent="0.3">
      <c r="E2546">
        <v>1800</v>
      </c>
      <c r="F2546">
        <v>2200</v>
      </c>
      <c r="G2546">
        <v>660</v>
      </c>
      <c r="H2546" s="114">
        <v>48240</v>
      </c>
      <c r="I2546" s="114">
        <v>53250</v>
      </c>
      <c r="J2546" s="113"/>
    </row>
    <row r="2547" spans="4:10" x14ac:dyDescent="0.3">
      <c r="F2547">
        <v>2400</v>
      </c>
      <c r="G2547">
        <v>660</v>
      </c>
      <c r="H2547" s="114">
        <v>55780</v>
      </c>
      <c r="I2547" s="114">
        <v>61630</v>
      </c>
      <c r="J2547" s="113"/>
    </row>
    <row r="2548" spans="4:10" x14ac:dyDescent="0.3">
      <c r="E2548">
        <v>2000</v>
      </c>
      <c r="F2548">
        <v>2200</v>
      </c>
      <c r="G2548">
        <v>660</v>
      </c>
      <c r="H2548" s="114">
        <v>51810</v>
      </c>
      <c r="I2548" s="114">
        <v>57230</v>
      </c>
      <c r="J2548" s="113"/>
    </row>
    <row r="2549" spans="4:10" x14ac:dyDescent="0.3">
      <c r="F2549">
        <v>2400</v>
      </c>
      <c r="G2549">
        <v>660</v>
      </c>
      <c r="H2549" s="114">
        <v>59330</v>
      </c>
      <c r="I2549" s="114">
        <v>65610</v>
      </c>
      <c r="J2549" s="113"/>
    </row>
    <row r="2550" spans="4:10" x14ac:dyDescent="0.3">
      <c r="D2550" t="s">
        <v>464</v>
      </c>
      <c r="E2550">
        <v>1600</v>
      </c>
      <c r="F2550">
        <v>2200</v>
      </c>
      <c r="G2550">
        <v>660</v>
      </c>
      <c r="H2550" s="114">
        <v>43540</v>
      </c>
      <c r="I2550" s="114">
        <v>48120</v>
      </c>
      <c r="J2550" s="113"/>
    </row>
    <row r="2551" spans="4:10" x14ac:dyDescent="0.3">
      <c r="F2551">
        <v>2400</v>
      </c>
      <c r="G2551">
        <v>660</v>
      </c>
      <c r="H2551" s="114">
        <v>50940</v>
      </c>
      <c r="I2551" s="114">
        <v>56360</v>
      </c>
      <c r="J2551" s="113"/>
    </row>
    <row r="2552" spans="4:10" x14ac:dyDescent="0.3">
      <c r="E2552">
        <v>1800</v>
      </c>
      <c r="F2552">
        <v>2200</v>
      </c>
      <c r="G2552">
        <v>660</v>
      </c>
      <c r="H2552" s="114">
        <v>47070</v>
      </c>
      <c r="I2552" s="114">
        <v>52080</v>
      </c>
      <c r="J2552" s="113"/>
    </row>
    <row r="2553" spans="4:10" x14ac:dyDescent="0.3">
      <c r="F2553">
        <v>2400</v>
      </c>
      <c r="G2553">
        <v>660</v>
      </c>
      <c r="H2553" s="114">
        <v>54470</v>
      </c>
      <c r="I2553" s="114">
        <v>60320</v>
      </c>
      <c r="J2553" s="113"/>
    </row>
    <row r="2554" spans="4:10" x14ac:dyDescent="0.3">
      <c r="E2554">
        <v>2000</v>
      </c>
      <c r="F2554">
        <v>2200</v>
      </c>
      <c r="G2554">
        <v>660</v>
      </c>
      <c r="H2554" s="114">
        <v>50640</v>
      </c>
      <c r="I2554" s="114">
        <v>56060</v>
      </c>
      <c r="J2554" s="113"/>
    </row>
    <row r="2555" spans="4:10" x14ac:dyDescent="0.3">
      <c r="F2555">
        <v>2400</v>
      </c>
      <c r="G2555">
        <v>660</v>
      </c>
      <c r="H2555" s="114">
        <v>58020</v>
      </c>
      <c r="I2555" s="114">
        <v>64300</v>
      </c>
      <c r="J2555" s="113"/>
    </row>
    <row r="2556" spans="4:10" x14ac:dyDescent="0.3">
      <c r="D2556" t="s">
        <v>465</v>
      </c>
      <c r="E2556">
        <v>1600</v>
      </c>
      <c r="F2556">
        <v>2200</v>
      </c>
      <c r="G2556">
        <v>660</v>
      </c>
      <c r="H2556" s="114">
        <v>49010</v>
      </c>
      <c r="I2556" s="114">
        <v>53590</v>
      </c>
      <c r="J2556" s="113"/>
    </row>
    <row r="2557" spans="4:10" x14ac:dyDescent="0.3">
      <c r="F2557">
        <v>2400</v>
      </c>
      <c r="G2557">
        <v>660</v>
      </c>
      <c r="H2557" s="114">
        <v>57740</v>
      </c>
      <c r="I2557" s="114">
        <v>63160</v>
      </c>
      <c r="J2557" s="113"/>
    </row>
    <row r="2558" spans="4:10" x14ac:dyDescent="0.3">
      <c r="E2558">
        <v>1800</v>
      </c>
      <c r="F2558">
        <v>2200</v>
      </c>
      <c r="G2558">
        <v>660</v>
      </c>
      <c r="H2558" s="114">
        <v>52540</v>
      </c>
      <c r="I2558" s="114">
        <v>57550</v>
      </c>
      <c r="J2558" s="113"/>
    </row>
    <row r="2559" spans="4:10" x14ac:dyDescent="0.3">
      <c r="F2559">
        <v>2400</v>
      </c>
      <c r="G2559">
        <v>660</v>
      </c>
      <c r="H2559" s="114">
        <v>61270</v>
      </c>
      <c r="I2559" s="114">
        <v>67120</v>
      </c>
      <c r="J2559" s="113"/>
    </row>
    <row r="2560" spans="4:10" x14ac:dyDescent="0.3">
      <c r="E2560">
        <v>2000</v>
      </c>
      <c r="F2560">
        <v>2200</v>
      </c>
      <c r="G2560">
        <v>660</v>
      </c>
      <c r="H2560" s="114">
        <v>56110</v>
      </c>
      <c r="I2560" s="114">
        <v>61530</v>
      </c>
      <c r="J2560" s="113"/>
    </row>
    <row r="2561" spans="4:10" x14ac:dyDescent="0.3">
      <c r="F2561">
        <v>2400</v>
      </c>
      <c r="G2561">
        <v>660</v>
      </c>
      <c r="H2561" s="114">
        <v>64820</v>
      </c>
      <c r="I2561" s="114">
        <v>71100</v>
      </c>
      <c r="J2561" s="113"/>
    </row>
    <row r="2562" spans="4:10" x14ac:dyDescent="0.3">
      <c r="D2562" t="s">
        <v>466</v>
      </c>
      <c r="E2562">
        <v>1600</v>
      </c>
      <c r="F2562">
        <v>2200</v>
      </c>
      <c r="G2562">
        <v>660</v>
      </c>
      <c r="H2562" s="114">
        <v>49010</v>
      </c>
      <c r="I2562" s="114">
        <v>53590</v>
      </c>
      <c r="J2562" s="113"/>
    </row>
    <row r="2563" spans="4:10" x14ac:dyDescent="0.3">
      <c r="F2563">
        <v>2400</v>
      </c>
      <c r="G2563">
        <v>660</v>
      </c>
      <c r="H2563" s="114">
        <v>57740</v>
      </c>
      <c r="I2563" s="114">
        <v>63160</v>
      </c>
      <c r="J2563" s="113"/>
    </row>
    <row r="2564" spans="4:10" x14ac:dyDescent="0.3">
      <c r="E2564">
        <v>1800</v>
      </c>
      <c r="F2564">
        <v>2200</v>
      </c>
      <c r="G2564">
        <v>660</v>
      </c>
      <c r="H2564" s="114">
        <v>52540</v>
      </c>
      <c r="I2564" s="114">
        <v>57550</v>
      </c>
      <c r="J2564" s="113"/>
    </row>
    <row r="2565" spans="4:10" x14ac:dyDescent="0.3">
      <c r="F2565">
        <v>2400</v>
      </c>
      <c r="G2565">
        <v>660</v>
      </c>
      <c r="H2565" s="114">
        <v>61270</v>
      </c>
      <c r="I2565" s="114">
        <v>67120</v>
      </c>
      <c r="J2565" s="113"/>
    </row>
    <row r="2566" spans="4:10" x14ac:dyDescent="0.3">
      <c r="E2566">
        <v>2000</v>
      </c>
      <c r="F2566">
        <v>2200</v>
      </c>
      <c r="G2566">
        <v>660</v>
      </c>
      <c r="H2566" s="114">
        <v>56110</v>
      </c>
      <c r="I2566" s="114">
        <v>61530</v>
      </c>
      <c r="J2566" s="113"/>
    </row>
    <row r="2567" spans="4:10" x14ac:dyDescent="0.3">
      <c r="F2567">
        <v>2400</v>
      </c>
      <c r="G2567">
        <v>660</v>
      </c>
      <c r="H2567" s="114">
        <v>64820</v>
      </c>
      <c r="I2567" s="114">
        <v>71100</v>
      </c>
      <c r="J2567" s="113"/>
    </row>
    <row r="2568" spans="4:10" x14ac:dyDescent="0.3">
      <c r="D2568" t="s">
        <v>467</v>
      </c>
      <c r="E2568">
        <v>1600</v>
      </c>
      <c r="F2568">
        <v>2200</v>
      </c>
      <c r="G2568">
        <v>660</v>
      </c>
      <c r="H2568" s="114">
        <v>49010</v>
      </c>
      <c r="I2568" s="114">
        <v>53590</v>
      </c>
      <c r="J2568" s="113"/>
    </row>
    <row r="2569" spans="4:10" x14ac:dyDescent="0.3">
      <c r="F2569">
        <v>2400</v>
      </c>
      <c r="G2569">
        <v>660</v>
      </c>
      <c r="H2569" s="114">
        <v>57740</v>
      </c>
      <c r="I2569" s="114">
        <v>63160</v>
      </c>
      <c r="J2569" s="113"/>
    </row>
    <row r="2570" spans="4:10" x14ac:dyDescent="0.3">
      <c r="E2570">
        <v>1800</v>
      </c>
      <c r="F2570">
        <v>2200</v>
      </c>
      <c r="G2570">
        <v>660</v>
      </c>
      <c r="H2570" s="114">
        <v>52540</v>
      </c>
      <c r="I2570" s="114">
        <v>57550</v>
      </c>
      <c r="J2570" s="113"/>
    </row>
    <row r="2571" spans="4:10" x14ac:dyDescent="0.3">
      <c r="F2571">
        <v>2400</v>
      </c>
      <c r="G2571">
        <v>660</v>
      </c>
      <c r="H2571" s="114">
        <v>61270</v>
      </c>
      <c r="I2571" s="114">
        <v>67120</v>
      </c>
      <c r="J2571" s="113"/>
    </row>
    <row r="2572" spans="4:10" x14ac:dyDescent="0.3">
      <c r="E2572">
        <v>2000</v>
      </c>
      <c r="F2572">
        <v>2200</v>
      </c>
      <c r="G2572">
        <v>660</v>
      </c>
      <c r="H2572" s="114">
        <v>56110</v>
      </c>
      <c r="I2572" s="114">
        <v>61530</v>
      </c>
      <c r="J2572" s="113"/>
    </row>
    <row r="2573" spans="4:10" x14ac:dyDescent="0.3">
      <c r="F2573">
        <v>2400</v>
      </c>
      <c r="G2573">
        <v>660</v>
      </c>
      <c r="H2573" s="114">
        <v>64820</v>
      </c>
      <c r="I2573" s="114">
        <v>71100</v>
      </c>
      <c r="J2573" s="113"/>
    </row>
    <row r="2574" spans="4:10" x14ac:dyDescent="0.3">
      <c r="D2574" t="s">
        <v>468</v>
      </c>
      <c r="E2574">
        <v>1600</v>
      </c>
      <c r="F2574">
        <v>2200</v>
      </c>
      <c r="G2574">
        <v>660</v>
      </c>
      <c r="H2574" s="114">
        <v>44710</v>
      </c>
      <c r="I2574" s="114">
        <v>49290</v>
      </c>
      <c r="J2574" s="113"/>
    </row>
    <row r="2575" spans="4:10" x14ac:dyDescent="0.3">
      <c r="F2575">
        <v>2400</v>
      </c>
      <c r="G2575">
        <v>660</v>
      </c>
      <c r="H2575" s="114">
        <v>52250</v>
      </c>
      <c r="I2575" s="114">
        <v>57670</v>
      </c>
      <c r="J2575" s="113"/>
    </row>
    <row r="2576" spans="4:10" x14ac:dyDescent="0.3">
      <c r="E2576">
        <v>1800</v>
      </c>
      <c r="F2576">
        <v>2200</v>
      </c>
      <c r="G2576">
        <v>660</v>
      </c>
      <c r="H2576" s="114">
        <v>48240</v>
      </c>
      <c r="I2576" s="114">
        <v>53250</v>
      </c>
      <c r="J2576" s="113"/>
    </row>
    <row r="2577" spans="4:10" x14ac:dyDescent="0.3">
      <c r="F2577">
        <v>2400</v>
      </c>
      <c r="G2577">
        <v>660</v>
      </c>
      <c r="H2577" s="114">
        <v>55780</v>
      </c>
      <c r="I2577" s="114">
        <v>61630</v>
      </c>
      <c r="J2577" s="113"/>
    </row>
    <row r="2578" spans="4:10" x14ac:dyDescent="0.3">
      <c r="E2578">
        <v>2000</v>
      </c>
      <c r="F2578">
        <v>2200</v>
      </c>
      <c r="G2578">
        <v>660</v>
      </c>
      <c r="H2578" s="114">
        <v>51810</v>
      </c>
      <c r="I2578" s="114">
        <v>57230</v>
      </c>
      <c r="J2578" s="113"/>
    </row>
    <row r="2579" spans="4:10" x14ac:dyDescent="0.3">
      <c r="F2579">
        <v>2400</v>
      </c>
      <c r="G2579">
        <v>660</v>
      </c>
      <c r="H2579" s="114">
        <v>59330</v>
      </c>
      <c r="I2579" s="114">
        <v>65610</v>
      </c>
      <c r="J2579" s="113"/>
    </row>
    <row r="2580" spans="4:10" x14ac:dyDescent="0.3">
      <c r="D2580" t="s">
        <v>469</v>
      </c>
      <c r="E2580">
        <v>1600</v>
      </c>
      <c r="F2580">
        <v>2200</v>
      </c>
      <c r="G2580">
        <v>660</v>
      </c>
      <c r="H2580" s="114">
        <v>73400</v>
      </c>
      <c r="I2580" s="114">
        <v>77020</v>
      </c>
      <c r="J2580" s="113"/>
    </row>
    <row r="2581" spans="4:10" x14ac:dyDescent="0.3">
      <c r="F2581">
        <v>2400</v>
      </c>
      <c r="G2581">
        <v>660</v>
      </c>
      <c r="H2581" s="114">
        <v>87020</v>
      </c>
      <c r="I2581" s="114">
        <v>91480</v>
      </c>
      <c r="J2581" s="113"/>
    </row>
    <row r="2582" spans="4:10" x14ac:dyDescent="0.3">
      <c r="E2582">
        <v>1800</v>
      </c>
      <c r="F2582">
        <v>2200</v>
      </c>
      <c r="G2582">
        <v>660</v>
      </c>
      <c r="H2582" s="114">
        <v>76930</v>
      </c>
      <c r="I2582" s="114">
        <v>80980</v>
      </c>
      <c r="J2582" s="113"/>
    </row>
    <row r="2583" spans="4:10" x14ac:dyDescent="0.3">
      <c r="F2583">
        <v>2400</v>
      </c>
      <c r="G2583">
        <v>660</v>
      </c>
      <c r="H2583" s="114">
        <v>90550</v>
      </c>
      <c r="I2583" s="114">
        <v>95440</v>
      </c>
      <c r="J2583" s="113"/>
    </row>
    <row r="2584" spans="4:10" x14ac:dyDescent="0.3">
      <c r="E2584">
        <v>2000</v>
      </c>
      <c r="F2584">
        <v>2200</v>
      </c>
      <c r="G2584">
        <v>660</v>
      </c>
      <c r="H2584" s="114">
        <v>80500</v>
      </c>
      <c r="I2584" s="114">
        <v>84960</v>
      </c>
      <c r="J2584" s="113"/>
    </row>
    <row r="2585" spans="4:10" x14ac:dyDescent="0.3">
      <c r="F2585">
        <v>2400</v>
      </c>
      <c r="G2585">
        <v>660</v>
      </c>
      <c r="H2585" s="114">
        <v>94100</v>
      </c>
      <c r="I2585" s="114">
        <v>99420</v>
      </c>
      <c r="J2585" s="113"/>
    </row>
    <row r="2586" spans="4:10" x14ac:dyDescent="0.3">
      <c r="D2586" t="s">
        <v>470</v>
      </c>
      <c r="E2586">
        <v>1600</v>
      </c>
      <c r="F2586">
        <v>2200</v>
      </c>
      <c r="G2586">
        <v>660</v>
      </c>
      <c r="H2586" s="114">
        <v>69100</v>
      </c>
      <c r="I2586" s="114">
        <v>72720</v>
      </c>
      <c r="J2586" s="113"/>
    </row>
    <row r="2587" spans="4:10" x14ac:dyDescent="0.3">
      <c r="F2587">
        <v>2400</v>
      </c>
      <c r="G2587">
        <v>660</v>
      </c>
      <c r="H2587" s="114">
        <v>81530</v>
      </c>
      <c r="I2587" s="114">
        <v>85990</v>
      </c>
      <c r="J2587" s="113"/>
    </row>
    <row r="2588" spans="4:10" x14ac:dyDescent="0.3">
      <c r="E2588">
        <v>1800</v>
      </c>
      <c r="F2588">
        <v>2200</v>
      </c>
      <c r="G2588">
        <v>660</v>
      </c>
      <c r="H2588" s="114">
        <v>72630</v>
      </c>
      <c r="I2588" s="114">
        <v>76680</v>
      </c>
      <c r="J2588" s="113"/>
    </row>
    <row r="2589" spans="4:10" x14ac:dyDescent="0.3">
      <c r="F2589">
        <v>2400</v>
      </c>
      <c r="G2589">
        <v>660</v>
      </c>
      <c r="H2589" s="114">
        <v>85060</v>
      </c>
      <c r="I2589" s="114">
        <v>89950</v>
      </c>
      <c r="J2589" s="113"/>
    </row>
    <row r="2590" spans="4:10" x14ac:dyDescent="0.3">
      <c r="E2590">
        <v>2000</v>
      </c>
      <c r="F2590">
        <v>2200</v>
      </c>
      <c r="G2590">
        <v>660</v>
      </c>
      <c r="H2590" s="114">
        <v>76200</v>
      </c>
      <c r="I2590" s="114">
        <v>80660</v>
      </c>
      <c r="J2590" s="113"/>
    </row>
    <row r="2591" spans="4:10" x14ac:dyDescent="0.3">
      <c r="F2591">
        <v>2400</v>
      </c>
      <c r="G2591">
        <v>660</v>
      </c>
      <c r="H2591" s="114">
        <v>88610</v>
      </c>
      <c r="I2591" s="114">
        <v>93930</v>
      </c>
      <c r="J2591" s="113"/>
    </row>
    <row r="2592" spans="4:10" x14ac:dyDescent="0.3">
      <c r="D2592" t="s">
        <v>471</v>
      </c>
      <c r="E2592">
        <v>1600</v>
      </c>
      <c r="F2592">
        <v>2200</v>
      </c>
      <c r="G2592">
        <v>660</v>
      </c>
      <c r="H2592" s="114">
        <v>67930</v>
      </c>
      <c r="I2592" s="114">
        <v>71550</v>
      </c>
      <c r="J2592" s="113"/>
    </row>
    <row r="2593" spans="4:10" x14ac:dyDescent="0.3">
      <c r="F2593">
        <v>2400</v>
      </c>
      <c r="G2593">
        <v>660</v>
      </c>
      <c r="H2593" s="114">
        <v>80220</v>
      </c>
      <c r="I2593" s="114">
        <v>84680</v>
      </c>
      <c r="J2593" s="113"/>
    </row>
    <row r="2594" spans="4:10" x14ac:dyDescent="0.3">
      <c r="E2594">
        <v>1800</v>
      </c>
      <c r="F2594">
        <v>2200</v>
      </c>
      <c r="G2594">
        <v>660</v>
      </c>
      <c r="H2594" s="114">
        <v>71460</v>
      </c>
      <c r="I2594" s="114">
        <v>75510</v>
      </c>
      <c r="J2594" s="113"/>
    </row>
    <row r="2595" spans="4:10" x14ac:dyDescent="0.3">
      <c r="F2595">
        <v>2400</v>
      </c>
      <c r="G2595">
        <v>660</v>
      </c>
      <c r="H2595" s="114">
        <v>83750</v>
      </c>
      <c r="I2595" s="114">
        <v>88640</v>
      </c>
      <c r="J2595" s="113"/>
    </row>
    <row r="2596" spans="4:10" x14ac:dyDescent="0.3">
      <c r="E2596">
        <v>2000</v>
      </c>
      <c r="F2596">
        <v>2200</v>
      </c>
      <c r="G2596">
        <v>660</v>
      </c>
      <c r="H2596" s="114">
        <v>75030</v>
      </c>
      <c r="I2596" s="114">
        <v>79490</v>
      </c>
      <c r="J2596" s="113"/>
    </row>
    <row r="2597" spans="4:10" x14ac:dyDescent="0.3">
      <c r="F2597">
        <v>2400</v>
      </c>
      <c r="G2597">
        <v>660</v>
      </c>
      <c r="H2597" s="114">
        <v>87300</v>
      </c>
      <c r="I2597" s="114">
        <v>92620</v>
      </c>
      <c r="J2597" s="113"/>
    </row>
    <row r="2598" spans="4:10" x14ac:dyDescent="0.3">
      <c r="D2598" t="s">
        <v>472</v>
      </c>
      <c r="E2598">
        <v>1600</v>
      </c>
      <c r="F2598">
        <v>2200</v>
      </c>
      <c r="G2598">
        <v>660</v>
      </c>
      <c r="H2598" s="114">
        <v>65270</v>
      </c>
      <c r="I2598" s="114">
        <v>69210</v>
      </c>
      <c r="J2598" s="113"/>
    </row>
    <row r="2599" spans="4:10" x14ac:dyDescent="0.3">
      <c r="F2599">
        <v>2400</v>
      </c>
      <c r="G2599">
        <v>660</v>
      </c>
      <c r="H2599" s="114">
        <v>77260</v>
      </c>
      <c r="I2599" s="114">
        <v>82040</v>
      </c>
      <c r="J2599" s="113"/>
    </row>
    <row r="2600" spans="4:10" x14ac:dyDescent="0.3">
      <c r="E2600">
        <v>1800</v>
      </c>
      <c r="F2600">
        <v>2200</v>
      </c>
      <c r="G2600">
        <v>660</v>
      </c>
      <c r="H2600" s="114">
        <v>68800</v>
      </c>
      <c r="I2600" s="114">
        <v>73170</v>
      </c>
      <c r="J2600" s="113"/>
    </row>
    <row r="2601" spans="4:10" x14ac:dyDescent="0.3">
      <c r="F2601">
        <v>2400</v>
      </c>
      <c r="G2601">
        <v>660</v>
      </c>
      <c r="H2601" s="114">
        <v>80790</v>
      </c>
      <c r="I2601" s="114">
        <v>86000</v>
      </c>
      <c r="J2601" s="113"/>
    </row>
    <row r="2602" spans="4:10" x14ac:dyDescent="0.3">
      <c r="E2602">
        <v>2000</v>
      </c>
      <c r="F2602">
        <v>2200</v>
      </c>
      <c r="G2602">
        <v>660</v>
      </c>
      <c r="H2602" s="114">
        <v>72370</v>
      </c>
      <c r="I2602" s="114">
        <v>77150</v>
      </c>
      <c r="J2602" s="113"/>
    </row>
    <row r="2603" spans="4:10" x14ac:dyDescent="0.3">
      <c r="F2603">
        <v>2400</v>
      </c>
      <c r="G2603">
        <v>660</v>
      </c>
      <c r="H2603" s="114">
        <v>84340</v>
      </c>
      <c r="I2603" s="114">
        <v>89980</v>
      </c>
      <c r="J2603" s="113"/>
    </row>
    <row r="2604" spans="4:10" x14ac:dyDescent="0.3">
      <c r="D2604" t="s">
        <v>473</v>
      </c>
      <c r="E2604">
        <v>1600</v>
      </c>
      <c r="F2604">
        <v>2200</v>
      </c>
      <c r="G2604">
        <v>660</v>
      </c>
      <c r="H2604" s="114">
        <v>73400</v>
      </c>
      <c r="I2604" s="114">
        <v>77020</v>
      </c>
      <c r="J2604" s="113"/>
    </row>
    <row r="2605" spans="4:10" x14ac:dyDescent="0.3">
      <c r="F2605">
        <v>2400</v>
      </c>
      <c r="G2605">
        <v>660</v>
      </c>
      <c r="H2605" s="114">
        <v>87020</v>
      </c>
      <c r="I2605" s="114">
        <v>91480</v>
      </c>
      <c r="J2605" s="113"/>
    </row>
    <row r="2606" spans="4:10" x14ac:dyDescent="0.3">
      <c r="E2606">
        <v>1800</v>
      </c>
      <c r="F2606">
        <v>2200</v>
      </c>
      <c r="G2606">
        <v>660</v>
      </c>
      <c r="H2606" s="114">
        <v>76930</v>
      </c>
      <c r="I2606" s="114">
        <v>80980</v>
      </c>
      <c r="J2606" s="113"/>
    </row>
    <row r="2607" spans="4:10" x14ac:dyDescent="0.3">
      <c r="F2607">
        <v>2400</v>
      </c>
      <c r="G2607">
        <v>660</v>
      </c>
      <c r="H2607" s="114">
        <v>90550</v>
      </c>
      <c r="I2607" s="114">
        <v>95440</v>
      </c>
      <c r="J2607" s="113"/>
    </row>
    <row r="2608" spans="4:10" x14ac:dyDescent="0.3">
      <c r="E2608">
        <v>2000</v>
      </c>
      <c r="F2608">
        <v>2200</v>
      </c>
      <c r="G2608">
        <v>660</v>
      </c>
      <c r="H2608" s="114">
        <v>80500</v>
      </c>
      <c r="I2608" s="114">
        <v>84960</v>
      </c>
      <c r="J2608" s="113"/>
    </row>
    <row r="2609" spans="4:10" x14ac:dyDescent="0.3">
      <c r="F2609">
        <v>2400</v>
      </c>
      <c r="G2609">
        <v>660</v>
      </c>
      <c r="H2609" s="114">
        <v>94100</v>
      </c>
      <c r="I2609" s="114">
        <v>99420</v>
      </c>
      <c r="J2609" s="113"/>
    </row>
    <row r="2610" spans="4:10" x14ac:dyDescent="0.3">
      <c r="D2610" t="s">
        <v>474</v>
      </c>
      <c r="E2610">
        <v>1600</v>
      </c>
      <c r="F2610">
        <v>2200</v>
      </c>
      <c r="G2610">
        <v>660</v>
      </c>
      <c r="H2610" s="114">
        <v>73400</v>
      </c>
      <c r="I2610" s="114">
        <v>77020</v>
      </c>
      <c r="J2610" s="113"/>
    </row>
    <row r="2611" spans="4:10" x14ac:dyDescent="0.3">
      <c r="F2611">
        <v>2400</v>
      </c>
      <c r="G2611">
        <v>660</v>
      </c>
      <c r="H2611" s="114">
        <v>87020</v>
      </c>
      <c r="I2611" s="114">
        <v>91480</v>
      </c>
      <c r="J2611" s="113"/>
    </row>
    <row r="2612" spans="4:10" x14ac:dyDescent="0.3">
      <c r="E2612">
        <v>1800</v>
      </c>
      <c r="F2612">
        <v>2200</v>
      </c>
      <c r="G2612">
        <v>660</v>
      </c>
      <c r="H2612" s="114">
        <v>76930</v>
      </c>
      <c r="I2612" s="114">
        <v>80980</v>
      </c>
      <c r="J2612" s="113"/>
    </row>
    <row r="2613" spans="4:10" x14ac:dyDescent="0.3">
      <c r="F2613">
        <v>2400</v>
      </c>
      <c r="G2613">
        <v>660</v>
      </c>
      <c r="H2613" s="114">
        <v>90550</v>
      </c>
      <c r="I2613" s="114">
        <v>95440</v>
      </c>
      <c r="J2613" s="113"/>
    </row>
    <row r="2614" spans="4:10" x14ac:dyDescent="0.3">
      <c r="E2614">
        <v>2000</v>
      </c>
      <c r="F2614">
        <v>2200</v>
      </c>
      <c r="G2614">
        <v>660</v>
      </c>
      <c r="H2614" s="114">
        <v>80500</v>
      </c>
      <c r="I2614" s="114">
        <v>84960</v>
      </c>
      <c r="J2614" s="113"/>
    </row>
    <row r="2615" spans="4:10" x14ac:dyDescent="0.3">
      <c r="F2615">
        <v>2400</v>
      </c>
      <c r="G2615">
        <v>660</v>
      </c>
      <c r="H2615" s="114">
        <v>94100</v>
      </c>
      <c r="I2615" s="114">
        <v>99420</v>
      </c>
      <c r="J2615" s="113"/>
    </row>
    <row r="2616" spans="4:10" x14ac:dyDescent="0.3">
      <c r="D2616" t="s">
        <v>475</v>
      </c>
      <c r="E2616">
        <v>1600</v>
      </c>
      <c r="F2616">
        <v>2200</v>
      </c>
      <c r="G2616">
        <v>660</v>
      </c>
      <c r="H2616" s="114">
        <v>69100</v>
      </c>
      <c r="I2616" s="114">
        <v>72720</v>
      </c>
      <c r="J2616" s="113"/>
    </row>
    <row r="2617" spans="4:10" x14ac:dyDescent="0.3">
      <c r="F2617">
        <v>2400</v>
      </c>
      <c r="G2617">
        <v>660</v>
      </c>
      <c r="H2617" s="114">
        <v>81530</v>
      </c>
      <c r="I2617" s="114">
        <v>85990</v>
      </c>
      <c r="J2617" s="113"/>
    </row>
    <row r="2618" spans="4:10" x14ac:dyDescent="0.3">
      <c r="E2618">
        <v>1800</v>
      </c>
      <c r="F2618">
        <v>2200</v>
      </c>
      <c r="G2618">
        <v>660</v>
      </c>
      <c r="H2618" s="114">
        <v>72630</v>
      </c>
      <c r="I2618" s="114">
        <v>76680</v>
      </c>
      <c r="J2618" s="113"/>
    </row>
    <row r="2619" spans="4:10" x14ac:dyDescent="0.3">
      <c r="F2619">
        <v>2400</v>
      </c>
      <c r="G2619">
        <v>660</v>
      </c>
      <c r="H2619" s="114">
        <v>85060</v>
      </c>
      <c r="I2619" s="114">
        <v>89950</v>
      </c>
      <c r="J2619" s="113"/>
    </row>
    <row r="2620" spans="4:10" x14ac:dyDescent="0.3">
      <c r="E2620">
        <v>2000</v>
      </c>
      <c r="F2620">
        <v>2200</v>
      </c>
      <c r="G2620">
        <v>660</v>
      </c>
      <c r="H2620" s="114">
        <v>76200</v>
      </c>
      <c r="I2620" s="114">
        <v>80660</v>
      </c>
      <c r="J2620" s="113"/>
    </row>
    <row r="2621" spans="4:10" x14ac:dyDescent="0.3">
      <c r="F2621">
        <v>2400</v>
      </c>
      <c r="G2621">
        <v>660</v>
      </c>
      <c r="H2621" s="114">
        <v>88610</v>
      </c>
      <c r="I2621" s="114">
        <v>93930</v>
      </c>
      <c r="J2621" s="113"/>
    </row>
    <row r="2622" spans="4:10" x14ac:dyDescent="0.3">
      <c r="D2622" t="s">
        <v>476</v>
      </c>
      <c r="E2622">
        <v>1600</v>
      </c>
      <c r="F2622">
        <v>2200</v>
      </c>
      <c r="G2622">
        <v>660</v>
      </c>
      <c r="H2622" s="114">
        <v>73400</v>
      </c>
      <c r="I2622" s="114">
        <v>77020</v>
      </c>
      <c r="J2622" s="113"/>
    </row>
    <row r="2623" spans="4:10" x14ac:dyDescent="0.3">
      <c r="F2623">
        <v>2400</v>
      </c>
      <c r="G2623">
        <v>660</v>
      </c>
      <c r="H2623" s="114">
        <v>87020</v>
      </c>
      <c r="I2623" s="114">
        <v>91480</v>
      </c>
      <c r="J2623" s="113"/>
    </row>
    <row r="2624" spans="4:10" x14ac:dyDescent="0.3">
      <c r="E2624">
        <v>1800</v>
      </c>
      <c r="F2624">
        <v>2200</v>
      </c>
      <c r="G2624">
        <v>660</v>
      </c>
      <c r="H2624" s="114">
        <v>76930</v>
      </c>
      <c r="I2624" s="114">
        <v>80980</v>
      </c>
      <c r="J2624" s="113"/>
    </row>
    <row r="2625" spans="4:10" x14ac:dyDescent="0.3">
      <c r="F2625">
        <v>2400</v>
      </c>
      <c r="G2625">
        <v>660</v>
      </c>
      <c r="H2625" s="114">
        <v>90550</v>
      </c>
      <c r="I2625" s="114">
        <v>95440</v>
      </c>
      <c r="J2625" s="113"/>
    </row>
    <row r="2626" spans="4:10" x14ac:dyDescent="0.3">
      <c r="E2626">
        <v>2000</v>
      </c>
      <c r="F2626">
        <v>2200</v>
      </c>
      <c r="G2626">
        <v>660</v>
      </c>
      <c r="H2626" s="114">
        <v>80500</v>
      </c>
      <c r="I2626" s="114">
        <v>84960</v>
      </c>
      <c r="J2626" s="113"/>
    </row>
    <row r="2627" spans="4:10" x14ac:dyDescent="0.3">
      <c r="F2627">
        <v>2400</v>
      </c>
      <c r="G2627">
        <v>660</v>
      </c>
      <c r="H2627" s="114">
        <v>94100</v>
      </c>
      <c r="I2627" s="114">
        <v>99420</v>
      </c>
      <c r="J2627" s="113"/>
    </row>
    <row r="2628" spans="4:10" x14ac:dyDescent="0.3">
      <c r="D2628" t="s">
        <v>477</v>
      </c>
      <c r="E2628">
        <v>1600</v>
      </c>
      <c r="F2628">
        <v>2200</v>
      </c>
      <c r="G2628">
        <v>660</v>
      </c>
      <c r="H2628" s="114">
        <v>69100</v>
      </c>
      <c r="I2628" s="114">
        <v>72720</v>
      </c>
      <c r="J2628" s="113"/>
    </row>
    <row r="2629" spans="4:10" x14ac:dyDescent="0.3">
      <c r="F2629">
        <v>2400</v>
      </c>
      <c r="G2629">
        <v>660</v>
      </c>
      <c r="H2629" s="114">
        <v>81530</v>
      </c>
      <c r="I2629" s="114">
        <v>85990</v>
      </c>
      <c r="J2629" s="113"/>
    </row>
    <row r="2630" spans="4:10" x14ac:dyDescent="0.3">
      <c r="E2630">
        <v>1800</v>
      </c>
      <c r="F2630">
        <v>2200</v>
      </c>
      <c r="G2630">
        <v>660</v>
      </c>
      <c r="H2630" s="114">
        <v>72630</v>
      </c>
      <c r="I2630" s="114">
        <v>76680</v>
      </c>
      <c r="J2630" s="113"/>
    </row>
    <row r="2631" spans="4:10" x14ac:dyDescent="0.3">
      <c r="F2631">
        <v>2400</v>
      </c>
      <c r="G2631">
        <v>660</v>
      </c>
      <c r="H2631" s="114">
        <v>85060</v>
      </c>
      <c r="I2631" s="114">
        <v>89950</v>
      </c>
      <c r="J2631" s="113"/>
    </row>
    <row r="2632" spans="4:10" x14ac:dyDescent="0.3">
      <c r="E2632">
        <v>2000</v>
      </c>
      <c r="F2632">
        <v>2200</v>
      </c>
      <c r="G2632">
        <v>660</v>
      </c>
      <c r="H2632" s="114">
        <v>76200</v>
      </c>
      <c r="I2632" s="114">
        <v>80660</v>
      </c>
      <c r="J2632" s="113"/>
    </row>
    <row r="2633" spans="4:10" x14ac:dyDescent="0.3">
      <c r="F2633">
        <v>2400</v>
      </c>
      <c r="G2633">
        <v>660</v>
      </c>
      <c r="H2633" s="114">
        <v>88610</v>
      </c>
      <c r="I2633" s="114">
        <v>93930</v>
      </c>
      <c r="J2633" s="113"/>
    </row>
    <row r="2634" spans="4:10" x14ac:dyDescent="0.3">
      <c r="D2634" t="s">
        <v>478</v>
      </c>
      <c r="E2634">
        <v>1600</v>
      </c>
      <c r="F2634">
        <v>2200</v>
      </c>
      <c r="G2634">
        <v>660</v>
      </c>
      <c r="H2634" s="114">
        <v>67930</v>
      </c>
      <c r="I2634" s="114">
        <v>71550</v>
      </c>
      <c r="J2634" s="113"/>
    </row>
    <row r="2635" spans="4:10" x14ac:dyDescent="0.3">
      <c r="F2635">
        <v>2400</v>
      </c>
      <c r="G2635">
        <v>660</v>
      </c>
      <c r="H2635" s="114">
        <v>80220</v>
      </c>
      <c r="I2635" s="114">
        <v>84680</v>
      </c>
      <c r="J2635" s="113"/>
    </row>
    <row r="2636" spans="4:10" x14ac:dyDescent="0.3">
      <c r="E2636">
        <v>1800</v>
      </c>
      <c r="F2636">
        <v>2200</v>
      </c>
      <c r="G2636">
        <v>660</v>
      </c>
      <c r="H2636" s="114">
        <v>71460</v>
      </c>
      <c r="I2636" s="114">
        <v>75510</v>
      </c>
      <c r="J2636" s="113"/>
    </row>
    <row r="2637" spans="4:10" x14ac:dyDescent="0.3">
      <c r="F2637">
        <v>2400</v>
      </c>
      <c r="G2637">
        <v>660</v>
      </c>
      <c r="H2637" s="114">
        <v>83750</v>
      </c>
      <c r="I2637" s="114">
        <v>88640</v>
      </c>
      <c r="J2637" s="113"/>
    </row>
    <row r="2638" spans="4:10" x14ac:dyDescent="0.3">
      <c r="E2638">
        <v>2000</v>
      </c>
      <c r="F2638">
        <v>2200</v>
      </c>
      <c r="G2638">
        <v>660</v>
      </c>
      <c r="H2638" s="114">
        <v>75030</v>
      </c>
      <c r="I2638" s="114">
        <v>79490</v>
      </c>
      <c r="J2638" s="113"/>
    </row>
    <row r="2639" spans="4:10" x14ac:dyDescent="0.3">
      <c r="F2639">
        <v>2400</v>
      </c>
      <c r="G2639">
        <v>660</v>
      </c>
      <c r="H2639" s="114">
        <v>87300</v>
      </c>
      <c r="I2639" s="114">
        <v>92620</v>
      </c>
      <c r="J2639" s="113"/>
    </row>
    <row r="2640" spans="4:10" x14ac:dyDescent="0.3">
      <c r="D2640" t="s">
        <v>479</v>
      </c>
      <c r="E2640">
        <v>1600</v>
      </c>
      <c r="F2640">
        <v>2200</v>
      </c>
      <c r="G2640">
        <v>660</v>
      </c>
      <c r="H2640" s="114">
        <v>65270</v>
      </c>
      <c r="I2640" s="114">
        <v>69210</v>
      </c>
      <c r="J2640" s="113"/>
    </row>
    <row r="2641" spans="4:10" x14ac:dyDescent="0.3">
      <c r="F2641">
        <v>2400</v>
      </c>
      <c r="G2641">
        <v>660</v>
      </c>
      <c r="H2641" s="114">
        <v>77260</v>
      </c>
      <c r="I2641" s="114">
        <v>82040</v>
      </c>
      <c r="J2641" s="113"/>
    </row>
    <row r="2642" spans="4:10" x14ac:dyDescent="0.3">
      <c r="E2642">
        <v>1800</v>
      </c>
      <c r="F2642">
        <v>2200</v>
      </c>
      <c r="G2642">
        <v>660</v>
      </c>
      <c r="H2642" s="114">
        <v>68800</v>
      </c>
      <c r="I2642" s="114">
        <v>73170</v>
      </c>
      <c r="J2642" s="113"/>
    </row>
    <row r="2643" spans="4:10" x14ac:dyDescent="0.3">
      <c r="F2643">
        <v>2400</v>
      </c>
      <c r="G2643">
        <v>660</v>
      </c>
      <c r="H2643" s="114">
        <v>80790</v>
      </c>
      <c r="I2643" s="114">
        <v>86000</v>
      </c>
      <c r="J2643" s="113"/>
    </row>
    <row r="2644" spans="4:10" x14ac:dyDescent="0.3">
      <c r="E2644">
        <v>2000</v>
      </c>
      <c r="F2644">
        <v>2200</v>
      </c>
      <c r="G2644">
        <v>660</v>
      </c>
      <c r="H2644" s="114">
        <v>72370</v>
      </c>
      <c r="I2644" s="114">
        <v>77150</v>
      </c>
      <c r="J2644" s="113"/>
    </row>
    <row r="2645" spans="4:10" x14ac:dyDescent="0.3">
      <c r="F2645">
        <v>2400</v>
      </c>
      <c r="G2645">
        <v>660</v>
      </c>
      <c r="H2645" s="114">
        <v>84340</v>
      </c>
      <c r="I2645" s="114">
        <v>89980</v>
      </c>
      <c r="J2645" s="113"/>
    </row>
    <row r="2646" spans="4:10" x14ac:dyDescent="0.3">
      <c r="D2646" t="s">
        <v>480</v>
      </c>
      <c r="E2646">
        <v>1600</v>
      </c>
      <c r="F2646">
        <v>2200</v>
      </c>
      <c r="G2646">
        <v>660</v>
      </c>
      <c r="H2646" s="114">
        <v>73400</v>
      </c>
      <c r="I2646" s="114">
        <v>77020</v>
      </c>
      <c r="J2646" s="113"/>
    </row>
    <row r="2647" spans="4:10" x14ac:dyDescent="0.3">
      <c r="F2647">
        <v>2400</v>
      </c>
      <c r="G2647">
        <v>660</v>
      </c>
      <c r="H2647" s="114">
        <v>87020</v>
      </c>
      <c r="I2647" s="114">
        <v>91480</v>
      </c>
      <c r="J2647" s="113"/>
    </row>
    <row r="2648" spans="4:10" x14ac:dyDescent="0.3">
      <c r="E2648">
        <v>1800</v>
      </c>
      <c r="F2648">
        <v>2200</v>
      </c>
      <c r="G2648">
        <v>660</v>
      </c>
      <c r="H2648" s="114">
        <v>76930</v>
      </c>
      <c r="I2648" s="114">
        <v>80980</v>
      </c>
      <c r="J2648" s="113"/>
    </row>
    <row r="2649" spans="4:10" x14ac:dyDescent="0.3">
      <c r="F2649">
        <v>2400</v>
      </c>
      <c r="G2649">
        <v>660</v>
      </c>
      <c r="H2649" s="114">
        <v>90550</v>
      </c>
      <c r="I2649" s="114">
        <v>95440</v>
      </c>
      <c r="J2649" s="113"/>
    </row>
    <row r="2650" spans="4:10" x14ac:dyDescent="0.3">
      <c r="E2650">
        <v>2000</v>
      </c>
      <c r="F2650">
        <v>2200</v>
      </c>
      <c r="G2650">
        <v>660</v>
      </c>
      <c r="H2650" s="114">
        <v>80500</v>
      </c>
      <c r="I2650" s="114">
        <v>84960</v>
      </c>
      <c r="J2650" s="113"/>
    </row>
    <row r="2651" spans="4:10" x14ac:dyDescent="0.3">
      <c r="F2651">
        <v>2400</v>
      </c>
      <c r="G2651">
        <v>660</v>
      </c>
      <c r="H2651" s="114">
        <v>94100</v>
      </c>
      <c r="I2651" s="114">
        <v>99420</v>
      </c>
      <c r="J2651" s="113"/>
    </row>
    <row r="2652" spans="4:10" x14ac:dyDescent="0.3">
      <c r="D2652" t="s">
        <v>481</v>
      </c>
      <c r="E2652">
        <v>1600</v>
      </c>
      <c r="F2652">
        <v>2200</v>
      </c>
      <c r="G2652">
        <v>660</v>
      </c>
      <c r="H2652" s="114">
        <v>73400</v>
      </c>
      <c r="I2652" s="114">
        <v>77020</v>
      </c>
      <c r="J2652" s="113"/>
    </row>
    <row r="2653" spans="4:10" x14ac:dyDescent="0.3">
      <c r="F2653">
        <v>2400</v>
      </c>
      <c r="G2653">
        <v>660</v>
      </c>
      <c r="H2653" s="114">
        <v>87020</v>
      </c>
      <c r="I2653" s="114">
        <v>91480</v>
      </c>
      <c r="J2653" s="113"/>
    </row>
    <row r="2654" spans="4:10" x14ac:dyDescent="0.3">
      <c r="E2654">
        <v>1800</v>
      </c>
      <c r="F2654">
        <v>2200</v>
      </c>
      <c r="G2654">
        <v>660</v>
      </c>
      <c r="H2654" s="114">
        <v>76930</v>
      </c>
      <c r="I2654" s="114">
        <v>80980</v>
      </c>
      <c r="J2654" s="113"/>
    </row>
    <row r="2655" spans="4:10" x14ac:dyDescent="0.3">
      <c r="F2655">
        <v>2400</v>
      </c>
      <c r="G2655">
        <v>660</v>
      </c>
      <c r="H2655" s="114">
        <v>90550</v>
      </c>
      <c r="I2655" s="114">
        <v>95440</v>
      </c>
      <c r="J2655" s="113"/>
    </row>
    <row r="2656" spans="4:10" x14ac:dyDescent="0.3">
      <c r="E2656">
        <v>2000</v>
      </c>
      <c r="F2656">
        <v>2200</v>
      </c>
      <c r="G2656">
        <v>660</v>
      </c>
      <c r="H2656" s="114">
        <v>80500</v>
      </c>
      <c r="I2656" s="114">
        <v>84960</v>
      </c>
      <c r="J2656" s="113"/>
    </row>
    <row r="2657" spans="4:10" x14ac:dyDescent="0.3">
      <c r="F2657">
        <v>2400</v>
      </c>
      <c r="G2657">
        <v>660</v>
      </c>
      <c r="H2657" s="114">
        <v>94100</v>
      </c>
      <c r="I2657" s="114">
        <v>99420</v>
      </c>
      <c r="J2657" s="113"/>
    </row>
    <row r="2658" spans="4:10" x14ac:dyDescent="0.3">
      <c r="D2658" t="s">
        <v>482</v>
      </c>
      <c r="E2658">
        <v>1600</v>
      </c>
      <c r="F2658">
        <v>2200</v>
      </c>
      <c r="G2658">
        <v>660</v>
      </c>
      <c r="H2658" s="114">
        <v>69100</v>
      </c>
      <c r="I2658" s="114">
        <v>72720</v>
      </c>
      <c r="J2658" s="113"/>
    </row>
    <row r="2659" spans="4:10" x14ac:dyDescent="0.3">
      <c r="F2659">
        <v>2400</v>
      </c>
      <c r="G2659">
        <v>660</v>
      </c>
      <c r="H2659" s="114">
        <v>81530</v>
      </c>
      <c r="I2659" s="114">
        <v>85990</v>
      </c>
      <c r="J2659" s="113"/>
    </row>
    <row r="2660" spans="4:10" x14ac:dyDescent="0.3">
      <c r="E2660">
        <v>1800</v>
      </c>
      <c r="F2660">
        <v>2200</v>
      </c>
      <c r="G2660">
        <v>660</v>
      </c>
      <c r="H2660" s="114">
        <v>72630</v>
      </c>
      <c r="I2660" s="114">
        <v>76680</v>
      </c>
      <c r="J2660" s="113"/>
    </row>
    <row r="2661" spans="4:10" x14ac:dyDescent="0.3">
      <c r="F2661">
        <v>2400</v>
      </c>
      <c r="G2661">
        <v>660</v>
      </c>
      <c r="H2661" s="114">
        <v>85060</v>
      </c>
      <c r="I2661" s="114">
        <v>89950</v>
      </c>
      <c r="J2661" s="113"/>
    </row>
    <row r="2662" spans="4:10" x14ac:dyDescent="0.3">
      <c r="E2662">
        <v>2000</v>
      </c>
      <c r="F2662">
        <v>2200</v>
      </c>
      <c r="G2662">
        <v>660</v>
      </c>
      <c r="H2662" s="114">
        <v>76200</v>
      </c>
      <c r="I2662" s="114">
        <v>80660</v>
      </c>
      <c r="J2662" s="113"/>
    </row>
    <row r="2663" spans="4:10" x14ac:dyDescent="0.3">
      <c r="F2663">
        <v>2400</v>
      </c>
      <c r="G2663">
        <v>660</v>
      </c>
      <c r="H2663" s="114">
        <v>88610</v>
      </c>
      <c r="I2663" s="114">
        <v>93930</v>
      </c>
      <c r="J2663" s="113"/>
    </row>
    <row r="2664" spans="4:10" x14ac:dyDescent="0.3">
      <c r="D2664" t="s">
        <v>483</v>
      </c>
      <c r="E2664">
        <v>1600</v>
      </c>
      <c r="F2664">
        <v>2200</v>
      </c>
      <c r="G2664">
        <v>660</v>
      </c>
      <c r="H2664" s="114">
        <v>60500</v>
      </c>
      <c r="I2664" s="114">
        <v>64120</v>
      </c>
      <c r="J2664" s="113"/>
    </row>
    <row r="2665" spans="4:10" x14ac:dyDescent="0.3">
      <c r="F2665">
        <v>2400</v>
      </c>
      <c r="G2665">
        <v>660</v>
      </c>
      <c r="H2665" s="114">
        <v>70550</v>
      </c>
      <c r="I2665" s="114">
        <v>75010</v>
      </c>
      <c r="J2665" s="113"/>
    </row>
    <row r="2666" spans="4:10" x14ac:dyDescent="0.3">
      <c r="E2666">
        <v>1800</v>
      </c>
      <c r="F2666">
        <v>2200</v>
      </c>
      <c r="G2666">
        <v>660</v>
      </c>
      <c r="H2666" s="114">
        <v>64030</v>
      </c>
      <c r="I2666" s="114">
        <v>68080</v>
      </c>
      <c r="J2666" s="113"/>
    </row>
    <row r="2667" spans="4:10" x14ac:dyDescent="0.3">
      <c r="F2667">
        <v>2400</v>
      </c>
      <c r="G2667">
        <v>660</v>
      </c>
      <c r="H2667" s="114">
        <v>74080</v>
      </c>
      <c r="I2667" s="114">
        <v>78970</v>
      </c>
      <c r="J2667" s="113"/>
    </row>
    <row r="2668" spans="4:10" x14ac:dyDescent="0.3">
      <c r="E2668">
        <v>2000</v>
      </c>
      <c r="F2668">
        <v>2200</v>
      </c>
      <c r="G2668">
        <v>660</v>
      </c>
      <c r="H2668" s="114">
        <v>67600</v>
      </c>
      <c r="I2668" s="114">
        <v>72060</v>
      </c>
      <c r="J2668" s="113"/>
    </row>
    <row r="2669" spans="4:10" x14ac:dyDescent="0.3">
      <c r="F2669">
        <v>2400</v>
      </c>
      <c r="G2669">
        <v>660</v>
      </c>
      <c r="H2669" s="114">
        <v>77630</v>
      </c>
      <c r="I2669" s="114">
        <v>82950</v>
      </c>
      <c r="J2669" s="113"/>
    </row>
    <row r="2670" spans="4:10" x14ac:dyDescent="0.3">
      <c r="D2670" t="s">
        <v>484</v>
      </c>
      <c r="E2670">
        <v>1600</v>
      </c>
      <c r="F2670">
        <v>2200</v>
      </c>
      <c r="G2670">
        <v>660</v>
      </c>
      <c r="H2670" s="114">
        <v>56200</v>
      </c>
      <c r="I2670" s="114">
        <v>59820</v>
      </c>
      <c r="J2670" s="113"/>
    </row>
    <row r="2671" spans="4:10" x14ac:dyDescent="0.3">
      <c r="F2671">
        <v>2400</v>
      </c>
      <c r="G2671">
        <v>660</v>
      </c>
      <c r="H2671" s="114">
        <v>65060</v>
      </c>
      <c r="I2671" s="114">
        <v>69520</v>
      </c>
      <c r="J2671" s="113"/>
    </row>
    <row r="2672" spans="4:10" x14ac:dyDescent="0.3">
      <c r="E2672">
        <v>1800</v>
      </c>
      <c r="F2672">
        <v>2200</v>
      </c>
      <c r="G2672">
        <v>660</v>
      </c>
      <c r="H2672" s="114">
        <v>59730</v>
      </c>
      <c r="I2672" s="114">
        <v>63780</v>
      </c>
      <c r="J2672" s="113"/>
    </row>
    <row r="2673" spans="4:10" x14ac:dyDescent="0.3">
      <c r="F2673">
        <v>2400</v>
      </c>
      <c r="G2673">
        <v>660</v>
      </c>
      <c r="H2673" s="114">
        <v>68590</v>
      </c>
      <c r="I2673" s="114">
        <v>73480</v>
      </c>
      <c r="J2673" s="113"/>
    </row>
    <row r="2674" spans="4:10" x14ac:dyDescent="0.3">
      <c r="E2674">
        <v>2000</v>
      </c>
      <c r="F2674">
        <v>2200</v>
      </c>
      <c r="G2674">
        <v>660</v>
      </c>
      <c r="H2674" s="114">
        <v>63300</v>
      </c>
      <c r="I2674" s="114">
        <v>67760</v>
      </c>
      <c r="J2674" s="113"/>
    </row>
    <row r="2675" spans="4:10" x14ac:dyDescent="0.3">
      <c r="F2675">
        <v>2400</v>
      </c>
      <c r="G2675">
        <v>660</v>
      </c>
      <c r="H2675" s="114">
        <v>72140</v>
      </c>
      <c r="I2675" s="114">
        <v>77460</v>
      </c>
      <c r="J2675" s="113"/>
    </row>
    <row r="2676" spans="4:10" x14ac:dyDescent="0.3">
      <c r="D2676" t="s">
        <v>485</v>
      </c>
      <c r="E2676">
        <v>1600</v>
      </c>
      <c r="F2676">
        <v>2200</v>
      </c>
      <c r="G2676">
        <v>660</v>
      </c>
      <c r="H2676" s="114">
        <v>55030</v>
      </c>
      <c r="I2676" s="114">
        <v>58650</v>
      </c>
      <c r="J2676" s="113"/>
    </row>
    <row r="2677" spans="4:10" x14ac:dyDescent="0.3">
      <c r="F2677">
        <v>2400</v>
      </c>
      <c r="G2677">
        <v>660</v>
      </c>
      <c r="H2677" s="114">
        <v>63750</v>
      </c>
      <c r="I2677" s="114">
        <v>68210</v>
      </c>
      <c r="J2677" s="113"/>
    </row>
    <row r="2678" spans="4:10" x14ac:dyDescent="0.3">
      <c r="E2678">
        <v>1800</v>
      </c>
      <c r="F2678">
        <v>2200</v>
      </c>
      <c r="G2678">
        <v>660</v>
      </c>
      <c r="H2678" s="114">
        <v>58560</v>
      </c>
      <c r="I2678" s="114">
        <v>62610</v>
      </c>
      <c r="J2678" s="113"/>
    </row>
    <row r="2679" spans="4:10" x14ac:dyDescent="0.3">
      <c r="F2679">
        <v>2400</v>
      </c>
      <c r="G2679">
        <v>660</v>
      </c>
      <c r="H2679" s="114">
        <v>67280</v>
      </c>
      <c r="I2679" s="114">
        <v>72170</v>
      </c>
      <c r="J2679" s="113"/>
    </row>
    <row r="2680" spans="4:10" x14ac:dyDescent="0.3">
      <c r="E2680">
        <v>2000</v>
      </c>
      <c r="F2680">
        <v>2200</v>
      </c>
      <c r="G2680">
        <v>660</v>
      </c>
      <c r="H2680" s="114">
        <v>62130</v>
      </c>
      <c r="I2680" s="114">
        <v>66590</v>
      </c>
      <c r="J2680" s="113"/>
    </row>
    <row r="2681" spans="4:10" x14ac:dyDescent="0.3">
      <c r="F2681">
        <v>2400</v>
      </c>
      <c r="G2681">
        <v>660</v>
      </c>
      <c r="H2681" s="114">
        <v>70830</v>
      </c>
      <c r="I2681" s="114">
        <v>76150</v>
      </c>
      <c r="J2681" s="113"/>
    </row>
    <row r="2682" spans="4:10" x14ac:dyDescent="0.3">
      <c r="D2682" t="s">
        <v>486</v>
      </c>
      <c r="E2682">
        <v>1600</v>
      </c>
      <c r="F2682">
        <v>2200</v>
      </c>
      <c r="G2682">
        <v>660</v>
      </c>
      <c r="H2682" s="114">
        <v>52370</v>
      </c>
      <c r="I2682" s="114">
        <v>56310</v>
      </c>
      <c r="J2682" s="113"/>
    </row>
    <row r="2683" spans="4:10" x14ac:dyDescent="0.3">
      <c r="F2683">
        <v>2400</v>
      </c>
      <c r="G2683">
        <v>660</v>
      </c>
      <c r="H2683" s="114">
        <v>60790</v>
      </c>
      <c r="I2683" s="114">
        <v>65570</v>
      </c>
      <c r="J2683" s="113"/>
    </row>
    <row r="2684" spans="4:10" x14ac:dyDescent="0.3">
      <c r="E2684">
        <v>1800</v>
      </c>
      <c r="F2684">
        <v>2200</v>
      </c>
      <c r="G2684">
        <v>660</v>
      </c>
      <c r="H2684" s="114">
        <v>55900</v>
      </c>
      <c r="I2684" s="114">
        <v>60270</v>
      </c>
      <c r="J2684" s="113"/>
    </row>
    <row r="2685" spans="4:10" x14ac:dyDescent="0.3">
      <c r="F2685">
        <v>2400</v>
      </c>
      <c r="G2685">
        <v>660</v>
      </c>
      <c r="H2685" s="114">
        <v>64320</v>
      </c>
      <c r="I2685" s="114">
        <v>69530</v>
      </c>
      <c r="J2685" s="113"/>
    </row>
    <row r="2686" spans="4:10" x14ac:dyDescent="0.3">
      <c r="E2686">
        <v>2000</v>
      </c>
      <c r="F2686">
        <v>2200</v>
      </c>
      <c r="G2686">
        <v>660</v>
      </c>
      <c r="H2686" s="114">
        <v>59470</v>
      </c>
      <c r="I2686" s="114">
        <v>64250</v>
      </c>
      <c r="J2686" s="113"/>
    </row>
    <row r="2687" spans="4:10" x14ac:dyDescent="0.3">
      <c r="F2687">
        <v>2400</v>
      </c>
      <c r="G2687">
        <v>660</v>
      </c>
      <c r="H2687" s="114">
        <v>67870</v>
      </c>
      <c r="I2687" s="114">
        <v>73510</v>
      </c>
      <c r="J2687" s="113"/>
    </row>
    <row r="2688" spans="4:10" x14ac:dyDescent="0.3">
      <c r="D2688" t="s">
        <v>487</v>
      </c>
      <c r="E2688">
        <v>1600</v>
      </c>
      <c r="F2688">
        <v>2200</v>
      </c>
      <c r="G2688">
        <v>660</v>
      </c>
      <c r="H2688" s="114">
        <v>60500</v>
      </c>
      <c r="I2688" s="114">
        <v>64120</v>
      </c>
      <c r="J2688" s="113"/>
    </row>
    <row r="2689" spans="4:10" x14ac:dyDescent="0.3">
      <c r="F2689">
        <v>2400</v>
      </c>
      <c r="G2689">
        <v>660</v>
      </c>
      <c r="H2689" s="114">
        <v>70550</v>
      </c>
      <c r="I2689" s="114">
        <v>75010</v>
      </c>
      <c r="J2689" s="113"/>
    </row>
    <row r="2690" spans="4:10" x14ac:dyDescent="0.3">
      <c r="E2690">
        <v>1800</v>
      </c>
      <c r="F2690">
        <v>2200</v>
      </c>
      <c r="G2690">
        <v>660</v>
      </c>
      <c r="H2690" s="114">
        <v>64030</v>
      </c>
      <c r="I2690" s="114">
        <v>68080</v>
      </c>
      <c r="J2690" s="113"/>
    </row>
    <row r="2691" spans="4:10" x14ac:dyDescent="0.3">
      <c r="F2691">
        <v>2400</v>
      </c>
      <c r="G2691">
        <v>660</v>
      </c>
      <c r="H2691" s="114">
        <v>74080</v>
      </c>
      <c r="I2691" s="114">
        <v>78970</v>
      </c>
      <c r="J2691" s="113"/>
    </row>
    <row r="2692" spans="4:10" x14ac:dyDescent="0.3">
      <c r="E2692">
        <v>2000</v>
      </c>
      <c r="F2692">
        <v>2200</v>
      </c>
      <c r="G2692">
        <v>660</v>
      </c>
      <c r="H2692" s="114">
        <v>67600</v>
      </c>
      <c r="I2692" s="114">
        <v>72060</v>
      </c>
      <c r="J2692" s="113"/>
    </row>
    <row r="2693" spans="4:10" x14ac:dyDescent="0.3">
      <c r="F2693">
        <v>2400</v>
      </c>
      <c r="G2693">
        <v>660</v>
      </c>
      <c r="H2693" s="114">
        <v>77630</v>
      </c>
      <c r="I2693" s="114">
        <v>82950</v>
      </c>
      <c r="J2693" s="113"/>
    </row>
    <row r="2694" spans="4:10" x14ac:dyDescent="0.3">
      <c r="D2694" t="s">
        <v>488</v>
      </c>
      <c r="E2694">
        <v>1600</v>
      </c>
      <c r="F2694">
        <v>2200</v>
      </c>
      <c r="G2694">
        <v>660</v>
      </c>
      <c r="H2694" s="114">
        <v>60500</v>
      </c>
      <c r="I2694" s="114">
        <v>64120</v>
      </c>
      <c r="J2694" s="113"/>
    </row>
    <row r="2695" spans="4:10" x14ac:dyDescent="0.3">
      <c r="F2695">
        <v>2400</v>
      </c>
      <c r="G2695">
        <v>660</v>
      </c>
      <c r="H2695" s="114">
        <v>70550</v>
      </c>
      <c r="I2695" s="114">
        <v>75010</v>
      </c>
      <c r="J2695" s="113"/>
    </row>
    <row r="2696" spans="4:10" x14ac:dyDescent="0.3">
      <c r="E2696">
        <v>1800</v>
      </c>
      <c r="F2696">
        <v>2200</v>
      </c>
      <c r="G2696">
        <v>660</v>
      </c>
      <c r="H2696" s="114">
        <v>64030</v>
      </c>
      <c r="I2696" s="114">
        <v>68080</v>
      </c>
      <c r="J2696" s="113"/>
    </row>
    <row r="2697" spans="4:10" x14ac:dyDescent="0.3">
      <c r="F2697">
        <v>2400</v>
      </c>
      <c r="G2697">
        <v>660</v>
      </c>
      <c r="H2697" s="114">
        <v>74080</v>
      </c>
      <c r="I2697" s="114">
        <v>78970</v>
      </c>
      <c r="J2697" s="113"/>
    </row>
    <row r="2698" spans="4:10" x14ac:dyDescent="0.3">
      <c r="E2698">
        <v>2000</v>
      </c>
      <c r="F2698">
        <v>2200</v>
      </c>
      <c r="G2698">
        <v>660</v>
      </c>
      <c r="H2698" s="114">
        <v>67600</v>
      </c>
      <c r="I2698" s="114">
        <v>72060</v>
      </c>
      <c r="J2698" s="113"/>
    </row>
    <row r="2699" spans="4:10" x14ac:dyDescent="0.3">
      <c r="F2699">
        <v>2400</v>
      </c>
      <c r="G2699">
        <v>660</v>
      </c>
      <c r="H2699" s="114">
        <v>77630</v>
      </c>
      <c r="I2699" s="114">
        <v>82950</v>
      </c>
      <c r="J2699" s="113"/>
    </row>
    <row r="2700" spans="4:10" x14ac:dyDescent="0.3">
      <c r="D2700" t="s">
        <v>489</v>
      </c>
      <c r="E2700">
        <v>1600</v>
      </c>
      <c r="F2700">
        <v>2200</v>
      </c>
      <c r="G2700">
        <v>660</v>
      </c>
      <c r="H2700" s="114">
        <v>60500</v>
      </c>
      <c r="I2700" s="114">
        <v>64120</v>
      </c>
      <c r="J2700" s="113"/>
    </row>
    <row r="2701" spans="4:10" x14ac:dyDescent="0.3">
      <c r="F2701">
        <v>2400</v>
      </c>
      <c r="G2701">
        <v>660</v>
      </c>
      <c r="H2701" s="114">
        <v>70550</v>
      </c>
      <c r="I2701" s="114">
        <v>75010</v>
      </c>
      <c r="J2701" s="113"/>
    </row>
    <row r="2702" spans="4:10" x14ac:dyDescent="0.3">
      <c r="E2702">
        <v>1800</v>
      </c>
      <c r="F2702">
        <v>2200</v>
      </c>
      <c r="G2702">
        <v>660</v>
      </c>
      <c r="H2702" s="114">
        <v>64030</v>
      </c>
      <c r="I2702" s="114">
        <v>68080</v>
      </c>
      <c r="J2702" s="113"/>
    </row>
    <row r="2703" spans="4:10" x14ac:dyDescent="0.3">
      <c r="F2703">
        <v>2400</v>
      </c>
      <c r="G2703">
        <v>660</v>
      </c>
      <c r="H2703" s="114">
        <v>74080</v>
      </c>
      <c r="I2703" s="114">
        <v>78970</v>
      </c>
      <c r="J2703" s="113"/>
    </row>
    <row r="2704" spans="4:10" x14ac:dyDescent="0.3">
      <c r="E2704">
        <v>2000</v>
      </c>
      <c r="F2704">
        <v>2200</v>
      </c>
      <c r="G2704">
        <v>660</v>
      </c>
      <c r="H2704" s="114">
        <v>67600</v>
      </c>
      <c r="I2704" s="114">
        <v>72060</v>
      </c>
      <c r="J2704" s="113"/>
    </row>
    <row r="2705" spans="4:10" x14ac:dyDescent="0.3">
      <c r="F2705">
        <v>2400</v>
      </c>
      <c r="G2705">
        <v>660</v>
      </c>
      <c r="H2705" s="114">
        <v>77630</v>
      </c>
      <c r="I2705" s="114">
        <v>82950</v>
      </c>
      <c r="J2705" s="113"/>
    </row>
    <row r="2706" spans="4:10" x14ac:dyDescent="0.3">
      <c r="D2706" t="s">
        <v>490</v>
      </c>
      <c r="E2706">
        <v>1600</v>
      </c>
      <c r="F2706">
        <v>2200</v>
      </c>
      <c r="G2706">
        <v>660</v>
      </c>
      <c r="H2706" s="114">
        <v>73400</v>
      </c>
      <c r="I2706" s="114">
        <v>77020</v>
      </c>
      <c r="J2706" s="113"/>
    </row>
    <row r="2707" spans="4:10" x14ac:dyDescent="0.3">
      <c r="F2707">
        <v>2400</v>
      </c>
      <c r="G2707">
        <v>660</v>
      </c>
      <c r="H2707" s="114">
        <v>87020</v>
      </c>
      <c r="I2707" s="114">
        <v>91480</v>
      </c>
      <c r="J2707" s="113"/>
    </row>
    <row r="2708" spans="4:10" x14ac:dyDescent="0.3">
      <c r="E2708">
        <v>1800</v>
      </c>
      <c r="F2708">
        <v>2200</v>
      </c>
      <c r="G2708">
        <v>660</v>
      </c>
      <c r="H2708" s="114">
        <v>76930</v>
      </c>
      <c r="I2708" s="114">
        <v>80980</v>
      </c>
      <c r="J2708" s="113"/>
    </row>
    <row r="2709" spans="4:10" x14ac:dyDescent="0.3">
      <c r="F2709">
        <v>2400</v>
      </c>
      <c r="G2709">
        <v>660</v>
      </c>
      <c r="H2709" s="114">
        <v>90550</v>
      </c>
      <c r="I2709" s="114">
        <v>95440</v>
      </c>
      <c r="J2709" s="113"/>
    </row>
    <row r="2710" spans="4:10" x14ac:dyDescent="0.3">
      <c r="E2710">
        <v>2000</v>
      </c>
      <c r="F2710">
        <v>2200</v>
      </c>
      <c r="G2710">
        <v>660</v>
      </c>
      <c r="H2710" s="114">
        <v>80500</v>
      </c>
      <c r="I2710" s="114">
        <v>84960</v>
      </c>
      <c r="J2710" s="113"/>
    </row>
    <row r="2711" spans="4:10" x14ac:dyDescent="0.3">
      <c r="F2711">
        <v>2400</v>
      </c>
      <c r="G2711">
        <v>660</v>
      </c>
      <c r="H2711" s="114">
        <v>94100</v>
      </c>
      <c r="I2711" s="114">
        <v>99420</v>
      </c>
      <c r="J2711" s="113"/>
    </row>
    <row r="2712" spans="4:10" x14ac:dyDescent="0.3">
      <c r="D2712" t="s">
        <v>491</v>
      </c>
      <c r="E2712">
        <v>1600</v>
      </c>
      <c r="F2712">
        <v>2200</v>
      </c>
      <c r="G2712">
        <v>660</v>
      </c>
      <c r="H2712" s="114">
        <v>69100</v>
      </c>
      <c r="I2712" s="114">
        <v>72720</v>
      </c>
      <c r="J2712" s="113"/>
    </row>
    <row r="2713" spans="4:10" x14ac:dyDescent="0.3">
      <c r="F2713">
        <v>2400</v>
      </c>
      <c r="G2713">
        <v>660</v>
      </c>
      <c r="H2713" s="114">
        <v>81530</v>
      </c>
      <c r="I2713" s="114">
        <v>85990</v>
      </c>
      <c r="J2713" s="113"/>
    </row>
    <row r="2714" spans="4:10" x14ac:dyDescent="0.3">
      <c r="E2714">
        <v>1800</v>
      </c>
      <c r="F2714">
        <v>2200</v>
      </c>
      <c r="G2714">
        <v>660</v>
      </c>
      <c r="H2714" s="114">
        <v>72630</v>
      </c>
      <c r="I2714" s="114">
        <v>76680</v>
      </c>
      <c r="J2714" s="113"/>
    </row>
    <row r="2715" spans="4:10" x14ac:dyDescent="0.3">
      <c r="F2715">
        <v>2400</v>
      </c>
      <c r="G2715">
        <v>660</v>
      </c>
      <c r="H2715" s="114">
        <v>85060</v>
      </c>
      <c r="I2715" s="114">
        <v>89950</v>
      </c>
      <c r="J2715" s="113"/>
    </row>
    <row r="2716" spans="4:10" x14ac:dyDescent="0.3">
      <c r="E2716">
        <v>2000</v>
      </c>
      <c r="F2716">
        <v>2200</v>
      </c>
      <c r="G2716">
        <v>660</v>
      </c>
      <c r="H2716" s="114">
        <v>76200</v>
      </c>
      <c r="I2716" s="114">
        <v>80660</v>
      </c>
      <c r="J2716" s="113"/>
    </row>
    <row r="2717" spans="4:10" x14ac:dyDescent="0.3">
      <c r="F2717">
        <v>2400</v>
      </c>
      <c r="G2717">
        <v>660</v>
      </c>
      <c r="H2717" s="114">
        <v>88610</v>
      </c>
      <c r="I2717" s="114">
        <v>93930</v>
      </c>
      <c r="J2717" s="113"/>
    </row>
    <row r="2718" spans="4:10" x14ac:dyDescent="0.3">
      <c r="D2718" t="s">
        <v>492</v>
      </c>
      <c r="E2718">
        <v>1600</v>
      </c>
      <c r="F2718">
        <v>2200</v>
      </c>
      <c r="G2718">
        <v>660</v>
      </c>
      <c r="H2718" s="114">
        <v>67930</v>
      </c>
      <c r="I2718" s="114">
        <v>71550</v>
      </c>
      <c r="J2718" s="113"/>
    </row>
    <row r="2719" spans="4:10" x14ac:dyDescent="0.3">
      <c r="F2719">
        <v>2400</v>
      </c>
      <c r="G2719">
        <v>660</v>
      </c>
      <c r="H2719" s="114">
        <v>80220</v>
      </c>
      <c r="I2719" s="114">
        <v>84680</v>
      </c>
      <c r="J2719" s="113"/>
    </row>
    <row r="2720" spans="4:10" x14ac:dyDescent="0.3">
      <c r="E2720">
        <v>1800</v>
      </c>
      <c r="F2720">
        <v>2200</v>
      </c>
      <c r="G2720">
        <v>660</v>
      </c>
      <c r="H2720" s="114">
        <v>71460</v>
      </c>
      <c r="I2720" s="114">
        <v>75510</v>
      </c>
      <c r="J2720" s="113"/>
    </row>
    <row r="2721" spans="4:10" x14ac:dyDescent="0.3">
      <c r="F2721">
        <v>2400</v>
      </c>
      <c r="G2721">
        <v>660</v>
      </c>
      <c r="H2721" s="114">
        <v>83750</v>
      </c>
      <c r="I2721" s="114">
        <v>88640</v>
      </c>
      <c r="J2721" s="113"/>
    </row>
    <row r="2722" spans="4:10" x14ac:dyDescent="0.3">
      <c r="E2722">
        <v>2000</v>
      </c>
      <c r="F2722">
        <v>2200</v>
      </c>
      <c r="G2722">
        <v>660</v>
      </c>
      <c r="H2722" s="114">
        <v>75030</v>
      </c>
      <c r="I2722" s="114">
        <v>79490</v>
      </c>
      <c r="J2722" s="113"/>
    </row>
    <row r="2723" spans="4:10" x14ac:dyDescent="0.3">
      <c r="F2723">
        <v>2400</v>
      </c>
      <c r="G2723">
        <v>660</v>
      </c>
      <c r="H2723" s="114">
        <v>87300</v>
      </c>
      <c r="I2723" s="114">
        <v>92620</v>
      </c>
      <c r="J2723" s="113"/>
    </row>
    <row r="2724" spans="4:10" x14ac:dyDescent="0.3">
      <c r="D2724" t="s">
        <v>493</v>
      </c>
      <c r="E2724">
        <v>1600</v>
      </c>
      <c r="F2724">
        <v>2200</v>
      </c>
      <c r="G2724">
        <v>660</v>
      </c>
      <c r="H2724" s="114">
        <v>65270</v>
      </c>
      <c r="I2724" s="114">
        <v>69210</v>
      </c>
      <c r="J2724" s="113"/>
    </row>
    <row r="2725" spans="4:10" x14ac:dyDescent="0.3">
      <c r="F2725">
        <v>2400</v>
      </c>
      <c r="G2725">
        <v>660</v>
      </c>
      <c r="H2725" s="114">
        <v>77260</v>
      </c>
      <c r="I2725" s="114">
        <v>82040</v>
      </c>
      <c r="J2725" s="113"/>
    </row>
    <row r="2726" spans="4:10" x14ac:dyDescent="0.3">
      <c r="E2726">
        <v>1800</v>
      </c>
      <c r="F2726">
        <v>2200</v>
      </c>
      <c r="G2726">
        <v>660</v>
      </c>
      <c r="H2726" s="114">
        <v>68800</v>
      </c>
      <c r="I2726" s="114">
        <v>73170</v>
      </c>
      <c r="J2726" s="113"/>
    </row>
    <row r="2727" spans="4:10" x14ac:dyDescent="0.3">
      <c r="F2727">
        <v>2400</v>
      </c>
      <c r="G2727">
        <v>660</v>
      </c>
      <c r="H2727" s="114">
        <v>80790</v>
      </c>
      <c r="I2727" s="114">
        <v>86000</v>
      </c>
      <c r="J2727" s="113"/>
    </row>
    <row r="2728" spans="4:10" x14ac:dyDescent="0.3">
      <c r="E2728">
        <v>2000</v>
      </c>
      <c r="F2728">
        <v>2200</v>
      </c>
      <c r="G2728">
        <v>660</v>
      </c>
      <c r="H2728" s="114">
        <v>72370</v>
      </c>
      <c r="I2728" s="114">
        <v>77150</v>
      </c>
      <c r="J2728" s="113"/>
    </row>
    <row r="2729" spans="4:10" x14ac:dyDescent="0.3">
      <c r="F2729">
        <v>2400</v>
      </c>
      <c r="G2729">
        <v>660</v>
      </c>
      <c r="H2729" s="114">
        <v>84340</v>
      </c>
      <c r="I2729" s="114">
        <v>89980</v>
      </c>
      <c r="J2729" s="113"/>
    </row>
    <row r="2730" spans="4:10" x14ac:dyDescent="0.3">
      <c r="D2730" t="s">
        <v>494</v>
      </c>
      <c r="E2730">
        <v>1600</v>
      </c>
      <c r="F2730">
        <v>2200</v>
      </c>
      <c r="G2730">
        <v>660</v>
      </c>
      <c r="H2730" s="114">
        <v>73400</v>
      </c>
      <c r="I2730" s="114">
        <v>77020</v>
      </c>
      <c r="J2730" s="113"/>
    </row>
    <row r="2731" spans="4:10" x14ac:dyDescent="0.3">
      <c r="F2731">
        <v>2400</v>
      </c>
      <c r="G2731">
        <v>660</v>
      </c>
      <c r="H2731" s="114">
        <v>87020</v>
      </c>
      <c r="I2731" s="114">
        <v>91480</v>
      </c>
      <c r="J2731" s="113"/>
    </row>
    <row r="2732" spans="4:10" x14ac:dyDescent="0.3">
      <c r="E2732">
        <v>1800</v>
      </c>
      <c r="F2732">
        <v>2200</v>
      </c>
      <c r="G2732">
        <v>660</v>
      </c>
      <c r="H2732" s="114">
        <v>76930</v>
      </c>
      <c r="I2732" s="114">
        <v>80980</v>
      </c>
      <c r="J2732" s="113"/>
    </row>
    <row r="2733" spans="4:10" x14ac:dyDescent="0.3">
      <c r="F2733">
        <v>2400</v>
      </c>
      <c r="G2733">
        <v>660</v>
      </c>
      <c r="H2733" s="114">
        <v>90550</v>
      </c>
      <c r="I2733" s="114">
        <v>95440</v>
      </c>
      <c r="J2733" s="113"/>
    </row>
    <row r="2734" spans="4:10" x14ac:dyDescent="0.3">
      <c r="E2734">
        <v>2000</v>
      </c>
      <c r="F2734">
        <v>2200</v>
      </c>
      <c r="G2734">
        <v>660</v>
      </c>
      <c r="H2734" s="114">
        <v>80500</v>
      </c>
      <c r="I2734" s="114">
        <v>84960</v>
      </c>
      <c r="J2734" s="113"/>
    </row>
    <row r="2735" spans="4:10" x14ac:dyDescent="0.3">
      <c r="F2735">
        <v>2400</v>
      </c>
      <c r="G2735">
        <v>660</v>
      </c>
      <c r="H2735" s="114">
        <v>94100</v>
      </c>
      <c r="I2735" s="114">
        <v>99420</v>
      </c>
      <c r="J2735" s="113"/>
    </row>
    <row r="2736" spans="4:10" x14ac:dyDescent="0.3">
      <c r="D2736" t="s">
        <v>495</v>
      </c>
      <c r="E2736">
        <v>1600</v>
      </c>
      <c r="F2736">
        <v>2200</v>
      </c>
      <c r="G2736">
        <v>660</v>
      </c>
      <c r="H2736" s="114">
        <v>73400</v>
      </c>
      <c r="I2736" s="114">
        <v>77020</v>
      </c>
      <c r="J2736" s="113"/>
    </row>
    <row r="2737" spans="4:10" x14ac:dyDescent="0.3">
      <c r="F2737">
        <v>2400</v>
      </c>
      <c r="G2737">
        <v>660</v>
      </c>
      <c r="H2737" s="114">
        <v>87020</v>
      </c>
      <c r="I2737" s="114">
        <v>91480</v>
      </c>
      <c r="J2737" s="113"/>
    </row>
    <row r="2738" spans="4:10" x14ac:dyDescent="0.3">
      <c r="E2738">
        <v>1800</v>
      </c>
      <c r="F2738">
        <v>2200</v>
      </c>
      <c r="G2738">
        <v>660</v>
      </c>
      <c r="H2738" s="114">
        <v>76930</v>
      </c>
      <c r="I2738" s="114">
        <v>80980</v>
      </c>
      <c r="J2738" s="113"/>
    </row>
    <row r="2739" spans="4:10" x14ac:dyDescent="0.3">
      <c r="F2739">
        <v>2400</v>
      </c>
      <c r="G2739">
        <v>660</v>
      </c>
      <c r="H2739" s="114">
        <v>90550</v>
      </c>
      <c r="I2739" s="114">
        <v>95440</v>
      </c>
      <c r="J2739" s="113"/>
    </row>
    <row r="2740" spans="4:10" x14ac:dyDescent="0.3">
      <c r="E2740">
        <v>2000</v>
      </c>
      <c r="F2740">
        <v>2200</v>
      </c>
      <c r="G2740">
        <v>660</v>
      </c>
      <c r="H2740" s="114">
        <v>80500</v>
      </c>
      <c r="I2740" s="114">
        <v>84960</v>
      </c>
      <c r="J2740" s="113"/>
    </row>
    <row r="2741" spans="4:10" x14ac:dyDescent="0.3">
      <c r="F2741">
        <v>2400</v>
      </c>
      <c r="G2741">
        <v>660</v>
      </c>
      <c r="H2741" s="114">
        <v>94100</v>
      </c>
      <c r="I2741" s="114">
        <v>99420</v>
      </c>
      <c r="J2741" s="113"/>
    </row>
    <row r="2742" spans="4:10" x14ac:dyDescent="0.3">
      <c r="D2742" t="s">
        <v>496</v>
      </c>
      <c r="E2742">
        <v>1600</v>
      </c>
      <c r="F2742">
        <v>2200</v>
      </c>
      <c r="G2742">
        <v>660</v>
      </c>
      <c r="H2742" s="114">
        <v>69100</v>
      </c>
      <c r="I2742" s="114">
        <v>72720</v>
      </c>
      <c r="J2742" s="113"/>
    </row>
    <row r="2743" spans="4:10" x14ac:dyDescent="0.3">
      <c r="F2743">
        <v>2400</v>
      </c>
      <c r="G2743">
        <v>660</v>
      </c>
      <c r="H2743" s="114">
        <v>81530</v>
      </c>
      <c r="I2743" s="114">
        <v>85990</v>
      </c>
      <c r="J2743" s="113"/>
    </row>
    <row r="2744" spans="4:10" x14ac:dyDescent="0.3">
      <c r="E2744">
        <v>1800</v>
      </c>
      <c r="F2744">
        <v>2200</v>
      </c>
      <c r="G2744">
        <v>660</v>
      </c>
      <c r="H2744" s="114">
        <v>72630</v>
      </c>
      <c r="I2744" s="114">
        <v>76680</v>
      </c>
      <c r="J2744" s="113"/>
    </row>
    <row r="2745" spans="4:10" x14ac:dyDescent="0.3">
      <c r="F2745">
        <v>2400</v>
      </c>
      <c r="G2745">
        <v>660</v>
      </c>
      <c r="H2745" s="114">
        <v>85060</v>
      </c>
      <c r="I2745" s="114">
        <v>89950</v>
      </c>
      <c r="J2745" s="113"/>
    </row>
    <row r="2746" spans="4:10" x14ac:dyDescent="0.3">
      <c r="E2746">
        <v>2000</v>
      </c>
      <c r="F2746">
        <v>2200</v>
      </c>
      <c r="G2746">
        <v>660</v>
      </c>
      <c r="H2746" s="114">
        <v>76200</v>
      </c>
      <c r="I2746" s="114">
        <v>80660</v>
      </c>
      <c r="J2746" s="113"/>
    </row>
    <row r="2747" spans="4:10" x14ac:dyDescent="0.3">
      <c r="F2747">
        <v>2400</v>
      </c>
      <c r="G2747">
        <v>660</v>
      </c>
      <c r="H2747" s="114">
        <v>88610</v>
      </c>
      <c r="I2747" s="114">
        <v>93930</v>
      </c>
      <c r="J2747" s="113"/>
    </row>
    <row r="2748" spans="4:10" x14ac:dyDescent="0.3">
      <c r="D2748" t="s">
        <v>497</v>
      </c>
      <c r="E2748">
        <v>1600</v>
      </c>
      <c r="F2748">
        <v>2200</v>
      </c>
      <c r="G2748">
        <v>660</v>
      </c>
      <c r="H2748" s="114">
        <v>64800</v>
      </c>
      <c r="I2748" s="114">
        <v>68420</v>
      </c>
      <c r="J2748" s="113"/>
    </row>
    <row r="2749" spans="4:10" x14ac:dyDescent="0.3">
      <c r="F2749">
        <v>2400</v>
      </c>
      <c r="G2749">
        <v>660</v>
      </c>
      <c r="H2749" s="114">
        <v>76040</v>
      </c>
      <c r="I2749" s="114">
        <v>80500</v>
      </c>
      <c r="J2749" s="113"/>
    </row>
    <row r="2750" spans="4:10" x14ac:dyDescent="0.3">
      <c r="E2750">
        <v>1800</v>
      </c>
      <c r="F2750">
        <v>2200</v>
      </c>
      <c r="G2750">
        <v>660</v>
      </c>
      <c r="H2750" s="114">
        <v>68330</v>
      </c>
      <c r="I2750" s="114">
        <v>72380</v>
      </c>
      <c r="J2750" s="113"/>
    </row>
    <row r="2751" spans="4:10" x14ac:dyDescent="0.3">
      <c r="F2751">
        <v>2400</v>
      </c>
      <c r="G2751">
        <v>660</v>
      </c>
      <c r="H2751" s="114">
        <v>79570</v>
      </c>
      <c r="I2751" s="114">
        <v>84460</v>
      </c>
      <c r="J2751" s="113"/>
    </row>
    <row r="2752" spans="4:10" x14ac:dyDescent="0.3">
      <c r="E2752">
        <v>2000</v>
      </c>
      <c r="F2752">
        <v>2200</v>
      </c>
      <c r="G2752">
        <v>660</v>
      </c>
      <c r="H2752" s="114">
        <v>71900</v>
      </c>
      <c r="I2752" s="114">
        <v>76360</v>
      </c>
      <c r="J2752" s="113"/>
    </row>
    <row r="2753" spans="4:10" x14ac:dyDescent="0.3">
      <c r="F2753">
        <v>2400</v>
      </c>
      <c r="G2753">
        <v>660</v>
      </c>
      <c r="H2753" s="114">
        <v>83120</v>
      </c>
      <c r="I2753" s="114">
        <v>88440</v>
      </c>
      <c r="J2753" s="113"/>
    </row>
    <row r="2754" spans="4:10" x14ac:dyDescent="0.3">
      <c r="D2754" t="s">
        <v>498</v>
      </c>
      <c r="E2754">
        <v>1600</v>
      </c>
      <c r="F2754">
        <v>2200</v>
      </c>
      <c r="G2754">
        <v>660</v>
      </c>
      <c r="H2754" s="114">
        <v>64800</v>
      </c>
      <c r="I2754" s="114">
        <v>68420</v>
      </c>
      <c r="J2754" s="113"/>
    </row>
    <row r="2755" spans="4:10" x14ac:dyDescent="0.3">
      <c r="F2755">
        <v>2400</v>
      </c>
      <c r="G2755">
        <v>660</v>
      </c>
      <c r="H2755" s="114">
        <v>76040</v>
      </c>
      <c r="I2755" s="114">
        <v>80500</v>
      </c>
      <c r="J2755" s="113"/>
    </row>
    <row r="2756" spans="4:10" x14ac:dyDescent="0.3">
      <c r="E2756">
        <v>1800</v>
      </c>
      <c r="F2756">
        <v>2200</v>
      </c>
      <c r="G2756">
        <v>660</v>
      </c>
      <c r="H2756" s="114">
        <v>68330</v>
      </c>
      <c r="I2756" s="114">
        <v>72380</v>
      </c>
      <c r="J2756" s="113"/>
    </row>
    <row r="2757" spans="4:10" x14ac:dyDescent="0.3">
      <c r="F2757">
        <v>2400</v>
      </c>
      <c r="G2757">
        <v>660</v>
      </c>
      <c r="H2757" s="114">
        <v>79570</v>
      </c>
      <c r="I2757" s="114">
        <v>84460</v>
      </c>
      <c r="J2757" s="113"/>
    </row>
    <row r="2758" spans="4:10" x14ac:dyDescent="0.3">
      <c r="E2758">
        <v>2000</v>
      </c>
      <c r="F2758">
        <v>2200</v>
      </c>
      <c r="G2758">
        <v>660</v>
      </c>
      <c r="H2758" s="114">
        <v>71900</v>
      </c>
      <c r="I2758" s="114">
        <v>76360</v>
      </c>
      <c r="J2758" s="113"/>
    </row>
    <row r="2759" spans="4:10" x14ac:dyDescent="0.3">
      <c r="F2759">
        <v>2400</v>
      </c>
      <c r="G2759">
        <v>660</v>
      </c>
      <c r="H2759" s="114">
        <v>83120</v>
      </c>
      <c r="I2759" s="114">
        <v>88440</v>
      </c>
      <c r="J2759" s="113"/>
    </row>
    <row r="2760" spans="4:10" x14ac:dyDescent="0.3">
      <c r="D2760" t="s">
        <v>499</v>
      </c>
      <c r="E2760">
        <v>1600</v>
      </c>
      <c r="F2760">
        <v>2200</v>
      </c>
      <c r="G2760">
        <v>660</v>
      </c>
      <c r="H2760" s="114">
        <v>64800</v>
      </c>
      <c r="I2760" s="114">
        <v>68420</v>
      </c>
      <c r="J2760" s="113"/>
    </row>
    <row r="2761" spans="4:10" x14ac:dyDescent="0.3">
      <c r="F2761">
        <v>2400</v>
      </c>
      <c r="G2761">
        <v>660</v>
      </c>
      <c r="H2761" s="114">
        <v>76040</v>
      </c>
      <c r="I2761" s="114">
        <v>80500</v>
      </c>
      <c r="J2761" s="113"/>
    </row>
    <row r="2762" spans="4:10" x14ac:dyDescent="0.3">
      <c r="E2762">
        <v>1800</v>
      </c>
      <c r="F2762">
        <v>2200</v>
      </c>
      <c r="G2762">
        <v>660</v>
      </c>
      <c r="H2762" s="114">
        <v>68330</v>
      </c>
      <c r="I2762" s="114">
        <v>72380</v>
      </c>
      <c r="J2762" s="113"/>
    </row>
    <row r="2763" spans="4:10" x14ac:dyDescent="0.3">
      <c r="F2763">
        <v>2400</v>
      </c>
      <c r="G2763">
        <v>660</v>
      </c>
      <c r="H2763" s="114">
        <v>79570</v>
      </c>
      <c r="I2763" s="114">
        <v>84460</v>
      </c>
      <c r="J2763" s="113"/>
    </row>
    <row r="2764" spans="4:10" x14ac:dyDescent="0.3">
      <c r="E2764">
        <v>2000</v>
      </c>
      <c r="F2764">
        <v>2200</v>
      </c>
      <c r="G2764">
        <v>660</v>
      </c>
      <c r="H2764" s="114">
        <v>71900</v>
      </c>
      <c r="I2764" s="114">
        <v>76360</v>
      </c>
      <c r="J2764" s="113"/>
    </row>
    <row r="2765" spans="4:10" x14ac:dyDescent="0.3">
      <c r="F2765">
        <v>2400</v>
      </c>
      <c r="G2765">
        <v>660</v>
      </c>
      <c r="H2765" s="114">
        <v>83120</v>
      </c>
      <c r="I2765" s="114">
        <v>88440</v>
      </c>
      <c r="J2765" s="113"/>
    </row>
    <row r="2766" spans="4:10" x14ac:dyDescent="0.3">
      <c r="D2766" t="s">
        <v>500</v>
      </c>
      <c r="E2766">
        <v>1600</v>
      </c>
      <c r="F2766">
        <v>2200</v>
      </c>
      <c r="G2766">
        <v>660</v>
      </c>
      <c r="H2766" s="114">
        <v>64800</v>
      </c>
      <c r="I2766" s="114">
        <v>68420</v>
      </c>
      <c r="J2766" s="113"/>
    </row>
    <row r="2767" spans="4:10" x14ac:dyDescent="0.3">
      <c r="F2767">
        <v>2400</v>
      </c>
      <c r="G2767">
        <v>660</v>
      </c>
      <c r="H2767" s="114">
        <v>76040</v>
      </c>
      <c r="I2767" s="114">
        <v>80500</v>
      </c>
      <c r="J2767" s="113"/>
    </row>
    <row r="2768" spans="4:10" x14ac:dyDescent="0.3">
      <c r="E2768">
        <v>1800</v>
      </c>
      <c r="F2768">
        <v>2200</v>
      </c>
      <c r="G2768">
        <v>660</v>
      </c>
      <c r="H2768" s="114">
        <v>68330</v>
      </c>
      <c r="I2768" s="114">
        <v>72380</v>
      </c>
      <c r="J2768" s="113"/>
    </row>
    <row r="2769" spans="4:10" x14ac:dyDescent="0.3">
      <c r="F2769">
        <v>2400</v>
      </c>
      <c r="G2769">
        <v>660</v>
      </c>
      <c r="H2769" s="114">
        <v>79570</v>
      </c>
      <c r="I2769" s="114">
        <v>84460</v>
      </c>
      <c r="J2769" s="113"/>
    </row>
    <row r="2770" spans="4:10" x14ac:dyDescent="0.3">
      <c r="E2770">
        <v>2000</v>
      </c>
      <c r="F2770">
        <v>2200</v>
      </c>
      <c r="G2770">
        <v>660</v>
      </c>
      <c r="H2770" s="114">
        <v>71900</v>
      </c>
      <c r="I2770" s="114">
        <v>76360</v>
      </c>
      <c r="J2770" s="113"/>
    </row>
    <row r="2771" spans="4:10" x14ac:dyDescent="0.3">
      <c r="F2771">
        <v>2400</v>
      </c>
      <c r="G2771">
        <v>660</v>
      </c>
      <c r="H2771" s="114">
        <v>83120</v>
      </c>
      <c r="I2771" s="114">
        <v>88440</v>
      </c>
      <c r="J2771" s="113"/>
    </row>
    <row r="2772" spans="4:10" x14ac:dyDescent="0.3">
      <c r="D2772" t="s">
        <v>501</v>
      </c>
      <c r="E2772">
        <v>1600</v>
      </c>
      <c r="F2772">
        <v>2200</v>
      </c>
      <c r="G2772">
        <v>660</v>
      </c>
      <c r="H2772" s="114">
        <v>56200</v>
      </c>
      <c r="I2772" s="114">
        <v>59820</v>
      </c>
      <c r="J2772" s="113"/>
    </row>
    <row r="2773" spans="4:10" x14ac:dyDescent="0.3">
      <c r="F2773">
        <v>2400</v>
      </c>
      <c r="G2773">
        <v>660</v>
      </c>
      <c r="H2773" s="114">
        <v>65060</v>
      </c>
      <c r="I2773" s="114">
        <v>69520</v>
      </c>
      <c r="J2773" s="113"/>
    </row>
    <row r="2774" spans="4:10" x14ac:dyDescent="0.3">
      <c r="E2774">
        <v>1800</v>
      </c>
      <c r="F2774">
        <v>2200</v>
      </c>
      <c r="G2774">
        <v>660</v>
      </c>
      <c r="H2774" s="114">
        <v>59730</v>
      </c>
      <c r="I2774" s="114">
        <v>63780</v>
      </c>
      <c r="J2774" s="113"/>
    </row>
    <row r="2775" spans="4:10" x14ac:dyDescent="0.3">
      <c r="F2775">
        <v>2400</v>
      </c>
      <c r="G2775">
        <v>660</v>
      </c>
      <c r="H2775" s="114">
        <v>68590</v>
      </c>
      <c r="I2775" s="114">
        <v>73480</v>
      </c>
      <c r="J2775" s="113"/>
    </row>
    <row r="2776" spans="4:10" x14ac:dyDescent="0.3">
      <c r="E2776">
        <v>2000</v>
      </c>
      <c r="F2776">
        <v>2200</v>
      </c>
      <c r="G2776">
        <v>660</v>
      </c>
      <c r="H2776" s="114">
        <v>63300</v>
      </c>
      <c r="I2776" s="114">
        <v>67760</v>
      </c>
      <c r="J2776" s="113"/>
    </row>
    <row r="2777" spans="4:10" x14ac:dyDescent="0.3">
      <c r="F2777">
        <v>2400</v>
      </c>
      <c r="G2777">
        <v>660</v>
      </c>
      <c r="H2777" s="114">
        <v>72140</v>
      </c>
      <c r="I2777" s="114">
        <v>77460</v>
      </c>
      <c r="J2777" s="113"/>
    </row>
    <row r="2778" spans="4:10" x14ac:dyDescent="0.3">
      <c r="D2778" t="s">
        <v>502</v>
      </c>
      <c r="E2778">
        <v>1600</v>
      </c>
      <c r="F2778">
        <v>2200</v>
      </c>
      <c r="G2778">
        <v>660</v>
      </c>
      <c r="H2778" s="114">
        <v>73400</v>
      </c>
      <c r="I2778" s="114">
        <v>77020</v>
      </c>
      <c r="J2778" s="113"/>
    </row>
    <row r="2779" spans="4:10" x14ac:dyDescent="0.3">
      <c r="F2779">
        <v>2400</v>
      </c>
      <c r="G2779">
        <v>660</v>
      </c>
      <c r="H2779" s="114">
        <v>87020</v>
      </c>
      <c r="I2779" s="114">
        <v>91480</v>
      </c>
      <c r="J2779" s="113"/>
    </row>
    <row r="2780" spans="4:10" x14ac:dyDescent="0.3">
      <c r="E2780">
        <v>1800</v>
      </c>
      <c r="F2780">
        <v>2200</v>
      </c>
      <c r="G2780">
        <v>660</v>
      </c>
      <c r="H2780" s="114">
        <v>76930</v>
      </c>
      <c r="I2780" s="114">
        <v>80980</v>
      </c>
      <c r="J2780" s="113"/>
    </row>
    <row r="2781" spans="4:10" x14ac:dyDescent="0.3">
      <c r="F2781">
        <v>2400</v>
      </c>
      <c r="G2781">
        <v>660</v>
      </c>
      <c r="H2781" s="114">
        <v>90550</v>
      </c>
      <c r="I2781" s="114">
        <v>95440</v>
      </c>
      <c r="J2781" s="113"/>
    </row>
    <row r="2782" spans="4:10" x14ac:dyDescent="0.3">
      <c r="E2782">
        <v>2000</v>
      </c>
      <c r="F2782">
        <v>2200</v>
      </c>
      <c r="G2782">
        <v>660</v>
      </c>
      <c r="H2782" s="114">
        <v>80500</v>
      </c>
      <c r="I2782" s="114">
        <v>84960</v>
      </c>
      <c r="J2782" s="113"/>
    </row>
    <row r="2783" spans="4:10" x14ac:dyDescent="0.3">
      <c r="F2783">
        <v>2400</v>
      </c>
      <c r="G2783">
        <v>660</v>
      </c>
      <c r="H2783" s="114">
        <v>94100</v>
      </c>
      <c r="I2783" s="114">
        <v>99420</v>
      </c>
      <c r="J2783" s="113"/>
    </row>
    <row r="2784" spans="4:10" x14ac:dyDescent="0.3">
      <c r="D2784" t="s">
        <v>503</v>
      </c>
      <c r="E2784">
        <v>1600</v>
      </c>
      <c r="F2784">
        <v>2200</v>
      </c>
      <c r="G2784">
        <v>660</v>
      </c>
      <c r="H2784" s="114">
        <v>73400</v>
      </c>
      <c r="I2784" s="114">
        <v>77020</v>
      </c>
      <c r="J2784" s="113"/>
    </row>
    <row r="2785" spans="4:10" x14ac:dyDescent="0.3">
      <c r="F2785">
        <v>2400</v>
      </c>
      <c r="G2785">
        <v>660</v>
      </c>
      <c r="H2785" s="114">
        <v>87020</v>
      </c>
      <c r="I2785" s="114">
        <v>91480</v>
      </c>
      <c r="J2785" s="113"/>
    </row>
    <row r="2786" spans="4:10" x14ac:dyDescent="0.3">
      <c r="E2786">
        <v>1800</v>
      </c>
      <c r="F2786">
        <v>2200</v>
      </c>
      <c r="G2786">
        <v>660</v>
      </c>
      <c r="H2786" s="114">
        <v>76930</v>
      </c>
      <c r="I2786" s="114">
        <v>80980</v>
      </c>
      <c r="J2786" s="113"/>
    </row>
    <row r="2787" spans="4:10" x14ac:dyDescent="0.3">
      <c r="F2787">
        <v>2400</v>
      </c>
      <c r="G2787">
        <v>660</v>
      </c>
      <c r="H2787" s="114">
        <v>90550</v>
      </c>
      <c r="I2787" s="114">
        <v>95440</v>
      </c>
      <c r="J2787" s="113"/>
    </row>
    <row r="2788" spans="4:10" x14ac:dyDescent="0.3">
      <c r="E2788">
        <v>2000</v>
      </c>
      <c r="F2788">
        <v>2200</v>
      </c>
      <c r="G2788">
        <v>660</v>
      </c>
      <c r="H2788" s="114">
        <v>80500</v>
      </c>
      <c r="I2788" s="114">
        <v>84960</v>
      </c>
      <c r="J2788" s="113"/>
    </row>
    <row r="2789" spans="4:10" x14ac:dyDescent="0.3">
      <c r="F2789">
        <v>2400</v>
      </c>
      <c r="G2789">
        <v>660</v>
      </c>
      <c r="H2789" s="114">
        <v>94100</v>
      </c>
      <c r="I2789" s="114">
        <v>99420</v>
      </c>
      <c r="J2789" s="113"/>
    </row>
    <row r="2790" spans="4:10" x14ac:dyDescent="0.3">
      <c r="D2790" t="s">
        <v>504</v>
      </c>
      <c r="E2790">
        <v>1600</v>
      </c>
      <c r="F2790">
        <v>2200</v>
      </c>
      <c r="G2790">
        <v>660</v>
      </c>
      <c r="H2790" s="114">
        <v>62460</v>
      </c>
      <c r="I2790" s="114">
        <v>66080</v>
      </c>
      <c r="J2790" s="113"/>
    </row>
    <row r="2791" spans="4:10" x14ac:dyDescent="0.3">
      <c r="F2791">
        <v>2400</v>
      </c>
      <c r="G2791">
        <v>660</v>
      </c>
      <c r="H2791" s="114">
        <v>73420</v>
      </c>
      <c r="I2791" s="114">
        <v>77880</v>
      </c>
      <c r="J2791" s="113"/>
    </row>
    <row r="2792" spans="4:10" x14ac:dyDescent="0.3">
      <c r="E2792">
        <v>1800</v>
      </c>
      <c r="F2792">
        <v>2200</v>
      </c>
      <c r="G2792">
        <v>660</v>
      </c>
      <c r="H2792" s="114">
        <v>65990</v>
      </c>
      <c r="I2792" s="114">
        <v>70040</v>
      </c>
      <c r="J2792" s="113"/>
    </row>
    <row r="2793" spans="4:10" x14ac:dyDescent="0.3">
      <c r="F2793">
        <v>2400</v>
      </c>
      <c r="G2793">
        <v>660</v>
      </c>
      <c r="H2793" s="114">
        <v>76950</v>
      </c>
      <c r="I2793" s="114">
        <v>81840</v>
      </c>
      <c r="J2793" s="113"/>
    </row>
    <row r="2794" spans="4:10" x14ac:dyDescent="0.3">
      <c r="E2794">
        <v>2000</v>
      </c>
      <c r="F2794">
        <v>2200</v>
      </c>
      <c r="G2794">
        <v>660</v>
      </c>
      <c r="H2794" s="114">
        <v>69560</v>
      </c>
      <c r="I2794" s="114">
        <v>74020</v>
      </c>
      <c r="J2794" s="113"/>
    </row>
    <row r="2795" spans="4:10" x14ac:dyDescent="0.3">
      <c r="F2795">
        <v>2400</v>
      </c>
      <c r="G2795">
        <v>660</v>
      </c>
      <c r="H2795" s="114">
        <v>80500</v>
      </c>
      <c r="I2795" s="114">
        <v>85820</v>
      </c>
      <c r="J2795" s="113"/>
    </row>
    <row r="2796" spans="4:10" x14ac:dyDescent="0.3">
      <c r="D2796" t="s">
        <v>505</v>
      </c>
      <c r="E2796">
        <v>1600</v>
      </c>
      <c r="F2796">
        <v>2200</v>
      </c>
      <c r="G2796">
        <v>660</v>
      </c>
      <c r="H2796" s="114">
        <v>53860</v>
      </c>
      <c r="I2796" s="114">
        <v>57480</v>
      </c>
      <c r="J2796" s="113"/>
    </row>
    <row r="2797" spans="4:10" x14ac:dyDescent="0.3">
      <c r="F2797">
        <v>2400</v>
      </c>
      <c r="G2797">
        <v>660</v>
      </c>
      <c r="H2797" s="114">
        <v>62440</v>
      </c>
      <c r="I2797" s="114">
        <v>66900</v>
      </c>
      <c r="J2797" s="113"/>
    </row>
    <row r="2798" spans="4:10" x14ac:dyDescent="0.3">
      <c r="E2798">
        <v>1800</v>
      </c>
      <c r="F2798">
        <v>2200</v>
      </c>
      <c r="G2798">
        <v>660</v>
      </c>
      <c r="H2798" s="114">
        <v>57390</v>
      </c>
      <c r="I2798" s="114">
        <v>61440</v>
      </c>
      <c r="J2798" s="113"/>
    </row>
    <row r="2799" spans="4:10" x14ac:dyDescent="0.3">
      <c r="F2799">
        <v>2400</v>
      </c>
      <c r="G2799">
        <v>660</v>
      </c>
      <c r="H2799" s="114">
        <v>65970</v>
      </c>
      <c r="I2799" s="114">
        <v>70860</v>
      </c>
      <c r="J2799" s="113"/>
    </row>
    <row r="2800" spans="4:10" x14ac:dyDescent="0.3">
      <c r="E2800">
        <v>2000</v>
      </c>
      <c r="F2800">
        <v>2200</v>
      </c>
      <c r="G2800">
        <v>660</v>
      </c>
      <c r="H2800" s="114">
        <v>60960</v>
      </c>
      <c r="I2800" s="114">
        <v>65420</v>
      </c>
      <c r="J2800" s="113"/>
    </row>
    <row r="2801" spans="4:10" x14ac:dyDescent="0.3">
      <c r="F2801">
        <v>2400</v>
      </c>
      <c r="G2801">
        <v>660</v>
      </c>
      <c r="H2801" s="114">
        <v>69520</v>
      </c>
      <c r="I2801" s="114">
        <v>74840</v>
      </c>
      <c r="J2801" s="113"/>
    </row>
    <row r="2802" spans="4:10" x14ac:dyDescent="0.3">
      <c r="D2802" t="s">
        <v>506</v>
      </c>
      <c r="E2802">
        <v>1600</v>
      </c>
      <c r="F2802">
        <v>2200</v>
      </c>
      <c r="G2802">
        <v>660</v>
      </c>
      <c r="H2802" s="114">
        <v>62460</v>
      </c>
      <c r="I2802" s="114">
        <v>66080</v>
      </c>
      <c r="J2802" s="113"/>
    </row>
    <row r="2803" spans="4:10" x14ac:dyDescent="0.3">
      <c r="F2803">
        <v>2400</v>
      </c>
      <c r="G2803">
        <v>660</v>
      </c>
      <c r="H2803" s="114">
        <v>73420</v>
      </c>
      <c r="I2803" s="114">
        <v>77880</v>
      </c>
      <c r="J2803" s="113"/>
    </row>
    <row r="2804" spans="4:10" x14ac:dyDescent="0.3">
      <c r="E2804">
        <v>1800</v>
      </c>
      <c r="F2804">
        <v>2200</v>
      </c>
      <c r="G2804">
        <v>660</v>
      </c>
      <c r="H2804" s="114">
        <v>65990</v>
      </c>
      <c r="I2804" s="114">
        <v>70040</v>
      </c>
      <c r="J2804" s="113"/>
    </row>
    <row r="2805" spans="4:10" x14ac:dyDescent="0.3">
      <c r="F2805">
        <v>2400</v>
      </c>
      <c r="G2805">
        <v>660</v>
      </c>
      <c r="H2805" s="114">
        <v>76950</v>
      </c>
      <c r="I2805" s="114">
        <v>81840</v>
      </c>
      <c r="J2805" s="113"/>
    </row>
    <row r="2806" spans="4:10" x14ac:dyDescent="0.3">
      <c r="E2806">
        <v>2000</v>
      </c>
      <c r="F2806">
        <v>2200</v>
      </c>
      <c r="G2806">
        <v>660</v>
      </c>
      <c r="H2806" s="114">
        <v>69560</v>
      </c>
      <c r="I2806" s="114">
        <v>74020</v>
      </c>
      <c r="J2806" s="113"/>
    </row>
    <row r="2807" spans="4:10" x14ac:dyDescent="0.3">
      <c r="F2807">
        <v>2400</v>
      </c>
      <c r="G2807">
        <v>660</v>
      </c>
      <c r="H2807" s="114">
        <v>80500</v>
      </c>
      <c r="I2807" s="114">
        <v>85820</v>
      </c>
      <c r="J2807" s="113"/>
    </row>
    <row r="2808" spans="4:10" x14ac:dyDescent="0.3">
      <c r="D2808" t="s">
        <v>507</v>
      </c>
      <c r="E2808">
        <v>1600</v>
      </c>
      <c r="F2808">
        <v>2200</v>
      </c>
      <c r="G2808">
        <v>660</v>
      </c>
      <c r="H2808" s="114">
        <v>62460</v>
      </c>
      <c r="I2808" s="114">
        <v>66080</v>
      </c>
      <c r="J2808" s="113"/>
    </row>
    <row r="2809" spans="4:10" x14ac:dyDescent="0.3">
      <c r="F2809">
        <v>2400</v>
      </c>
      <c r="G2809">
        <v>660</v>
      </c>
      <c r="H2809" s="114">
        <v>73420</v>
      </c>
      <c r="I2809" s="114">
        <v>77880</v>
      </c>
      <c r="J2809" s="113"/>
    </row>
    <row r="2810" spans="4:10" x14ac:dyDescent="0.3">
      <c r="E2810">
        <v>1800</v>
      </c>
      <c r="F2810">
        <v>2200</v>
      </c>
      <c r="G2810">
        <v>660</v>
      </c>
      <c r="H2810" s="114">
        <v>65990</v>
      </c>
      <c r="I2810" s="114">
        <v>70040</v>
      </c>
      <c r="J2810" s="113"/>
    </row>
    <row r="2811" spans="4:10" x14ac:dyDescent="0.3">
      <c r="F2811">
        <v>2400</v>
      </c>
      <c r="G2811">
        <v>660</v>
      </c>
      <c r="H2811" s="114">
        <v>76950</v>
      </c>
      <c r="I2811" s="114">
        <v>81840</v>
      </c>
      <c r="J2811" s="113"/>
    </row>
    <row r="2812" spans="4:10" x14ac:dyDescent="0.3">
      <c r="E2812">
        <v>2000</v>
      </c>
      <c r="F2812">
        <v>2200</v>
      </c>
      <c r="G2812">
        <v>660</v>
      </c>
      <c r="H2812" s="114">
        <v>69560</v>
      </c>
      <c r="I2812" s="114">
        <v>74020</v>
      </c>
      <c r="J2812" s="113"/>
    </row>
    <row r="2813" spans="4:10" x14ac:dyDescent="0.3">
      <c r="F2813">
        <v>2400</v>
      </c>
      <c r="G2813">
        <v>660</v>
      </c>
      <c r="H2813" s="114">
        <v>80500</v>
      </c>
      <c r="I2813" s="114">
        <v>85820</v>
      </c>
      <c r="J2813" s="113"/>
    </row>
    <row r="2814" spans="4:10" x14ac:dyDescent="0.3">
      <c r="D2814" t="s">
        <v>508</v>
      </c>
      <c r="E2814">
        <v>1600</v>
      </c>
      <c r="F2814">
        <v>2200</v>
      </c>
      <c r="G2814">
        <v>660</v>
      </c>
      <c r="H2814" s="114">
        <v>62460</v>
      </c>
      <c r="I2814" s="114">
        <v>66080</v>
      </c>
      <c r="J2814" s="113"/>
    </row>
    <row r="2815" spans="4:10" x14ac:dyDescent="0.3">
      <c r="F2815">
        <v>2400</v>
      </c>
      <c r="G2815">
        <v>660</v>
      </c>
      <c r="H2815" s="114">
        <v>73420</v>
      </c>
      <c r="I2815" s="114">
        <v>77880</v>
      </c>
      <c r="J2815" s="113"/>
    </row>
    <row r="2816" spans="4:10" x14ac:dyDescent="0.3">
      <c r="E2816">
        <v>1800</v>
      </c>
      <c r="F2816">
        <v>2200</v>
      </c>
      <c r="G2816">
        <v>660</v>
      </c>
      <c r="H2816" s="114">
        <v>65990</v>
      </c>
      <c r="I2816" s="114">
        <v>70040</v>
      </c>
      <c r="J2816" s="113"/>
    </row>
    <row r="2817" spans="4:10" x14ac:dyDescent="0.3">
      <c r="F2817">
        <v>2400</v>
      </c>
      <c r="G2817">
        <v>660</v>
      </c>
      <c r="H2817" s="114">
        <v>76950</v>
      </c>
      <c r="I2817" s="114">
        <v>81840</v>
      </c>
      <c r="J2817" s="113"/>
    </row>
    <row r="2818" spans="4:10" x14ac:dyDescent="0.3">
      <c r="E2818">
        <v>2000</v>
      </c>
      <c r="F2818">
        <v>2200</v>
      </c>
      <c r="G2818">
        <v>660</v>
      </c>
      <c r="H2818" s="114">
        <v>69560</v>
      </c>
      <c r="I2818" s="114">
        <v>74020</v>
      </c>
      <c r="J2818" s="113"/>
    </row>
    <row r="2819" spans="4:10" x14ac:dyDescent="0.3">
      <c r="F2819">
        <v>2400</v>
      </c>
      <c r="G2819">
        <v>660</v>
      </c>
      <c r="H2819" s="114">
        <v>80500</v>
      </c>
      <c r="I2819" s="114">
        <v>85820</v>
      </c>
      <c r="J2819" s="113"/>
    </row>
    <row r="2820" spans="4:10" x14ac:dyDescent="0.3">
      <c r="D2820" t="s">
        <v>509</v>
      </c>
      <c r="E2820">
        <v>1600</v>
      </c>
      <c r="F2820">
        <v>2200</v>
      </c>
      <c r="G2820">
        <v>660</v>
      </c>
      <c r="H2820" s="114">
        <v>53860</v>
      </c>
      <c r="I2820" s="114">
        <v>57480</v>
      </c>
      <c r="J2820" s="113"/>
    </row>
    <row r="2821" spans="4:10" x14ac:dyDescent="0.3">
      <c r="F2821">
        <v>2400</v>
      </c>
      <c r="G2821">
        <v>660</v>
      </c>
      <c r="H2821" s="114">
        <v>62440</v>
      </c>
      <c r="I2821" s="114">
        <v>66900</v>
      </c>
      <c r="J2821" s="113"/>
    </row>
    <row r="2822" spans="4:10" x14ac:dyDescent="0.3">
      <c r="E2822">
        <v>1800</v>
      </c>
      <c r="F2822">
        <v>2200</v>
      </c>
      <c r="G2822">
        <v>660</v>
      </c>
      <c r="H2822" s="114">
        <v>57390</v>
      </c>
      <c r="I2822" s="114">
        <v>61440</v>
      </c>
      <c r="J2822" s="113"/>
    </row>
    <row r="2823" spans="4:10" x14ac:dyDescent="0.3">
      <c r="F2823">
        <v>2400</v>
      </c>
      <c r="G2823">
        <v>660</v>
      </c>
      <c r="H2823" s="114">
        <v>65970</v>
      </c>
      <c r="I2823" s="114">
        <v>70860</v>
      </c>
      <c r="J2823" s="113"/>
    </row>
    <row r="2824" spans="4:10" x14ac:dyDescent="0.3">
      <c r="E2824">
        <v>2000</v>
      </c>
      <c r="F2824">
        <v>2200</v>
      </c>
      <c r="G2824">
        <v>660</v>
      </c>
      <c r="H2824" s="114">
        <v>60960</v>
      </c>
      <c r="I2824" s="114">
        <v>65420</v>
      </c>
      <c r="J2824" s="113"/>
    </row>
    <row r="2825" spans="4:10" x14ac:dyDescent="0.3">
      <c r="F2825">
        <v>2400</v>
      </c>
      <c r="G2825">
        <v>660</v>
      </c>
      <c r="H2825" s="114">
        <v>69520</v>
      </c>
      <c r="I2825" s="114">
        <v>74840</v>
      </c>
      <c r="J2825" s="113"/>
    </row>
    <row r="2826" spans="4:10" x14ac:dyDescent="0.3">
      <c r="D2826" t="s">
        <v>510</v>
      </c>
      <c r="E2826">
        <v>1600</v>
      </c>
      <c r="F2826">
        <v>2200</v>
      </c>
      <c r="G2826">
        <v>660</v>
      </c>
      <c r="H2826" s="114">
        <v>57140</v>
      </c>
      <c r="I2826" s="114">
        <v>61400</v>
      </c>
      <c r="J2826" s="113"/>
    </row>
    <row r="2827" spans="4:10" x14ac:dyDescent="0.3">
      <c r="F2827">
        <v>2400</v>
      </c>
      <c r="G2827">
        <v>660</v>
      </c>
      <c r="H2827" s="114">
        <v>67500</v>
      </c>
      <c r="I2827" s="114">
        <v>72600</v>
      </c>
      <c r="J2827" s="113"/>
    </row>
    <row r="2828" spans="4:10" x14ac:dyDescent="0.3">
      <c r="E2828">
        <v>1800</v>
      </c>
      <c r="F2828">
        <v>2200</v>
      </c>
      <c r="G2828">
        <v>660</v>
      </c>
      <c r="H2828" s="114">
        <v>60670</v>
      </c>
      <c r="I2828" s="114">
        <v>65360</v>
      </c>
      <c r="J2828" s="113"/>
    </row>
    <row r="2829" spans="4:10" x14ac:dyDescent="0.3">
      <c r="F2829">
        <v>2400</v>
      </c>
      <c r="G2829">
        <v>660</v>
      </c>
      <c r="H2829" s="114">
        <v>71030</v>
      </c>
      <c r="I2829" s="114">
        <v>76560</v>
      </c>
      <c r="J2829" s="113"/>
    </row>
    <row r="2830" spans="4:10" x14ac:dyDescent="0.3">
      <c r="E2830">
        <v>2000</v>
      </c>
      <c r="F2830">
        <v>2200</v>
      </c>
      <c r="G2830">
        <v>660</v>
      </c>
      <c r="H2830" s="114">
        <v>64240</v>
      </c>
      <c r="I2830" s="114">
        <v>69340</v>
      </c>
      <c r="J2830" s="113"/>
    </row>
    <row r="2831" spans="4:10" x14ac:dyDescent="0.3">
      <c r="F2831">
        <v>2400</v>
      </c>
      <c r="G2831">
        <v>660</v>
      </c>
      <c r="H2831" s="114">
        <v>74580</v>
      </c>
      <c r="I2831" s="114">
        <v>80540</v>
      </c>
      <c r="J2831" s="113"/>
    </row>
    <row r="2832" spans="4:10" x14ac:dyDescent="0.3">
      <c r="D2832" t="s">
        <v>511</v>
      </c>
      <c r="E2832">
        <v>1600</v>
      </c>
      <c r="F2832">
        <v>2200</v>
      </c>
      <c r="G2832">
        <v>660</v>
      </c>
      <c r="H2832" s="114">
        <v>48540</v>
      </c>
      <c r="I2832" s="114">
        <v>52800</v>
      </c>
      <c r="J2832" s="113"/>
    </row>
    <row r="2833" spans="4:10" x14ac:dyDescent="0.3">
      <c r="F2833">
        <v>2400</v>
      </c>
      <c r="G2833">
        <v>660</v>
      </c>
      <c r="H2833" s="114">
        <v>56520</v>
      </c>
      <c r="I2833" s="114">
        <v>61620</v>
      </c>
      <c r="J2833" s="113"/>
    </row>
    <row r="2834" spans="4:10" x14ac:dyDescent="0.3">
      <c r="E2834">
        <v>1800</v>
      </c>
      <c r="F2834">
        <v>2200</v>
      </c>
      <c r="G2834">
        <v>660</v>
      </c>
      <c r="H2834" s="114">
        <v>52070</v>
      </c>
      <c r="I2834" s="114">
        <v>56760</v>
      </c>
      <c r="J2834" s="113"/>
    </row>
    <row r="2835" spans="4:10" x14ac:dyDescent="0.3">
      <c r="F2835">
        <v>2400</v>
      </c>
      <c r="G2835">
        <v>660</v>
      </c>
      <c r="H2835" s="114">
        <v>60050</v>
      </c>
      <c r="I2835" s="114">
        <v>65580</v>
      </c>
      <c r="J2835" s="113"/>
    </row>
    <row r="2836" spans="4:10" x14ac:dyDescent="0.3">
      <c r="E2836">
        <v>2000</v>
      </c>
      <c r="F2836">
        <v>2200</v>
      </c>
      <c r="G2836">
        <v>660</v>
      </c>
      <c r="H2836" s="114">
        <v>55640</v>
      </c>
      <c r="I2836" s="114">
        <v>60740</v>
      </c>
      <c r="J2836" s="113"/>
    </row>
    <row r="2837" spans="4:10" x14ac:dyDescent="0.3">
      <c r="F2837">
        <v>2400</v>
      </c>
      <c r="G2837">
        <v>660</v>
      </c>
      <c r="H2837" s="114">
        <v>63600</v>
      </c>
      <c r="I2837" s="114">
        <v>69560</v>
      </c>
      <c r="J2837" s="113"/>
    </row>
    <row r="2838" spans="4:10" x14ac:dyDescent="0.3">
      <c r="D2838" t="s">
        <v>512</v>
      </c>
      <c r="E2838">
        <v>1600</v>
      </c>
      <c r="F2838">
        <v>2200</v>
      </c>
      <c r="G2838">
        <v>660</v>
      </c>
      <c r="H2838" s="114">
        <v>46200</v>
      </c>
      <c r="I2838" s="114">
        <v>50460</v>
      </c>
      <c r="J2838" s="113"/>
    </row>
    <row r="2839" spans="4:10" x14ac:dyDescent="0.3">
      <c r="F2839">
        <v>2400</v>
      </c>
      <c r="G2839">
        <v>660</v>
      </c>
      <c r="H2839" s="114">
        <v>53900</v>
      </c>
      <c r="I2839" s="114">
        <v>59000</v>
      </c>
      <c r="J2839" s="113"/>
    </row>
    <row r="2840" spans="4:10" x14ac:dyDescent="0.3">
      <c r="E2840">
        <v>1800</v>
      </c>
      <c r="F2840">
        <v>2200</v>
      </c>
      <c r="G2840">
        <v>660</v>
      </c>
      <c r="H2840" s="114">
        <v>49730</v>
      </c>
      <c r="I2840" s="114">
        <v>54420</v>
      </c>
      <c r="J2840" s="113"/>
    </row>
    <row r="2841" spans="4:10" x14ac:dyDescent="0.3">
      <c r="F2841">
        <v>2400</v>
      </c>
      <c r="G2841">
        <v>660</v>
      </c>
      <c r="H2841" s="114">
        <v>57430</v>
      </c>
      <c r="I2841" s="114">
        <v>62960</v>
      </c>
      <c r="J2841" s="113"/>
    </row>
    <row r="2842" spans="4:10" x14ac:dyDescent="0.3">
      <c r="E2842">
        <v>2000</v>
      </c>
      <c r="F2842">
        <v>2200</v>
      </c>
      <c r="G2842">
        <v>660</v>
      </c>
      <c r="H2842" s="114">
        <v>53300</v>
      </c>
      <c r="I2842" s="114">
        <v>58400</v>
      </c>
      <c r="J2842" s="113"/>
    </row>
    <row r="2843" spans="4:10" x14ac:dyDescent="0.3">
      <c r="F2843">
        <v>2400</v>
      </c>
      <c r="G2843">
        <v>660</v>
      </c>
      <c r="H2843" s="114">
        <v>60980</v>
      </c>
      <c r="I2843" s="114">
        <v>66940</v>
      </c>
      <c r="J2843" s="113"/>
    </row>
    <row r="2844" spans="4:10" x14ac:dyDescent="0.3">
      <c r="D2844" t="s">
        <v>513</v>
      </c>
      <c r="E2844">
        <v>1600</v>
      </c>
      <c r="F2844">
        <v>2200</v>
      </c>
      <c r="G2844">
        <v>660</v>
      </c>
      <c r="H2844" s="114">
        <v>57140</v>
      </c>
      <c r="I2844" s="114">
        <v>61400</v>
      </c>
      <c r="J2844" s="113"/>
    </row>
    <row r="2845" spans="4:10" x14ac:dyDescent="0.3">
      <c r="F2845">
        <v>2400</v>
      </c>
      <c r="G2845">
        <v>660</v>
      </c>
      <c r="H2845" s="114">
        <v>67500</v>
      </c>
      <c r="I2845" s="114">
        <v>72600</v>
      </c>
      <c r="J2845" s="113"/>
    </row>
    <row r="2846" spans="4:10" x14ac:dyDescent="0.3">
      <c r="E2846">
        <v>1800</v>
      </c>
      <c r="F2846">
        <v>2200</v>
      </c>
      <c r="G2846">
        <v>660</v>
      </c>
      <c r="H2846" s="114">
        <v>60670</v>
      </c>
      <c r="I2846" s="114">
        <v>65360</v>
      </c>
      <c r="J2846" s="113"/>
    </row>
    <row r="2847" spans="4:10" x14ac:dyDescent="0.3">
      <c r="F2847">
        <v>2400</v>
      </c>
      <c r="G2847">
        <v>660</v>
      </c>
      <c r="H2847" s="114">
        <v>71030</v>
      </c>
      <c r="I2847" s="114">
        <v>76560</v>
      </c>
      <c r="J2847" s="113"/>
    </row>
    <row r="2848" spans="4:10" x14ac:dyDescent="0.3">
      <c r="E2848">
        <v>2000</v>
      </c>
      <c r="F2848">
        <v>2200</v>
      </c>
      <c r="G2848">
        <v>660</v>
      </c>
      <c r="H2848" s="114">
        <v>64240</v>
      </c>
      <c r="I2848" s="114">
        <v>69340</v>
      </c>
      <c r="J2848" s="113"/>
    </row>
    <row r="2849" spans="4:10" x14ac:dyDescent="0.3">
      <c r="F2849">
        <v>2400</v>
      </c>
      <c r="G2849">
        <v>660</v>
      </c>
      <c r="H2849" s="114">
        <v>74580</v>
      </c>
      <c r="I2849" s="114">
        <v>80540</v>
      </c>
      <c r="J2849" s="113"/>
    </row>
    <row r="2850" spans="4:10" x14ac:dyDescent="0.3">
      <c r="D2850" t="s">
        <v>514</v>
      </c>
      <c r="E2850">
        <v>1600</v>
      </c>
      <c r="F2850">
        <v>2200</v>
      </c>
      <c r="G2850">
        <v>660</v>
      </c>
      <c r="H2850" s="114">
        <v>57140</v>
      </c>
      <c r="I2850" s="114">
        <v>61400</v>
      </c>
      <c r="J2850" s="113"/>
    </row>
    <row r="2851" spans="4:10" x14ac:dyDescent="0.3">
      <c r="F2851">
        <v>2400</v>
      </c>
      <c r="G2851">
        <v>660</v>
      </c>
      <c r="H2851" s="114">
        <v>67500</v>
      </c>
      <c r="I2851" s="114">
        <v>72600</v>
      </c>
      <c r="J2851" s="113"/>
    </row>
    <row r="2852" spans="4:10" x14ac:dyDescent="0.3">
      <c r="E2852">
        <v>1800</v>
      </c>
      <c r="F2852">
        <v>2200</v>
      </c>
      <c r="G2852">
        <v>660</v>
      </c>
      <c r="H2852" s="114">
        <v>60670</v>
      </c>
      <c r="I2852" s="114">
        <v>65360</v>
      </c>
      <c r="J2852" s="113"/>
    </row>
    <row r="2853" spans="4:10" x14ac:dyDescent="0.3">
      <c r="F2853">
        <v>2400</v>
      </c>
      <c r="G2853">
        <v>660</v>
      </c>
      <c r="H2853" s="114">
        <v>71030</v>
      </c>
      <c r="I2853" s="114">
        <v>76560</v>
      </c>
      <c r="J2853" s="113"/>
    </row>
    <row r="2854" spans="4:10" x14ac:dyDescent="0.3">
      <c r="E2854">
        <v>2000</v>
      </c>
      <c r="F2854">
        <v>2200</v>
      </c>
      <c r="G2854">
        <v>660</v>
      </c>
      <c r="H2854" s="114">
        <v>64240</v>
      </c>
      <c r="I2854" s="114">
        <v>69340</v>
      </c>
      <c r="J2854" s="113"/>
    </row>
    <row r="2855" spans="4:10" x14ac:dyDescent="0.3">
      <c r="F2855">
        <v>2400</v>
      </c>
      <c r="G2855">
        <v>660</v>
      </c>
      <c r="H2855" s="114">
        <v>74580</v>
      </c>
      <c r="I2855" s="114">
        <v>80540</v>
      </c>
      <c r="J2855" s="113"/>
    </row>
    <row r="2856" spans="4:10" x14ac:dyDescent="0.3">
      <c r="D2856" t="s">
        <v>515</v>
      </c>
      <c r="E2856">
        <v>1600</v>
      </c>
      <c r="F2856">
        <v>2200</v>
      </c>
      <c r="G2856">
        <v>660</v>
      </c>
      <c r="H2856" s="114">
        <v>57140</v>
      </c>
      <c r="I2856" s="114">
        <v>61400</v>
      </c>
      <c r="J2856" s="113"/>
    </row>
    <row r="2857" spans="4:10" x14ac:dyDescent="0.3">
      <c r="F2857">
        <v>2400</v>
      </c>
      <c r="G2857">
        <v>660</v>
      </c>
      <c r="H2857" s="114">
        <v>67500</v>
      </c>
      <c r="I2857" s="114">
        <v>72600</v>
      </c>
      <c r="J2857" s="113"/>
    </row>
    <row r="2858" spans="4:10" x14ac:dyDescent="0.3">
      <c r="E2858">
        <v>1800</v>
      </c>
      <c r="F2858">
        <v>2200</v>
      </c>
      <c r="G2858">
        <v>660</v>
      </c>
      <c r="H2858" s="114">
        <v>60670</v>
      </c>
      <c r="I2858" s="114">
        <v>65360</v>
      </c>
      <c r="J2858" s="113"/>
    </row>
    <row r="2859" spans="4:10" x14ac:dyDescent="0.3">
      <c r="F2859">
        <v>2400</v>
      </c>
      <c r="G2859">
        <v>660</v>
      </c>
      <c r="H2859" s="114">
        <v>71030</v>
      </c>
      <c r="I2859" s="114">
        <v>76560</v>
      </c>
      <c r="J2859" s="113"/>
    </row>
    <row r="2860" spans="4:10" x14ac:dyDescent="0.3">
      <c r="E2860">
        <v>2000</v>
      </c>
      <c r="F2860">
        <v>2200</v>
      </c>
      <c r="G2860">
        <v>660</v>
      </c>
      <c r="H2860" s="114">
        <v>64240</v>
      </c>
      <c r="I2860" s="114">
        <v>69340</v>
      </c>
      <c r="J2860" s="113"/>
    </row>
    <row r="2861" spans="4:10" x14ac:dyDescent="0.3">
      <c r="F2861">
        <v>2400</v>
      </c>
      <c r="G2861">
        <v>660</v>
      </c>
      <c r="H2861" s="114">
        <v>74580</v>
      </c>
      <c r="I2861" s="114">
        <v>80540</v>
      </c>
      <c r="J2861" s="113"/>
    </row>
    <row r="2862" spans="4:10" x14ac:dyDescent="0.3">
      <c r="D2862" t="s">
        <v>516</v>
      </c>
      <c r="E2862">
        <v>1600</v>
      </c>
      <c r="F2862">
        <v>2200</v>
      </c>
      <c r="G2862">
        <v>660</v>
      </c>
      <c r="H2862" s="114">
        <v>57140</v>
      </c>
      <c r="I2862" s="114">
        <v>61400</v>
      </c>
      <c r="J2862" s="113"/>
    </row>
    <row r="2863" spans="4:10" x14ac:dyDescent="0.3">
      <c r="F2863">
        <v>2400</v>
      </c>
      <c r="G2863">
        <v>660</v>
      </c>
      <c r="H2863" s="114">
        <v>67500</v>
      </c>
      <c r="I2863" s="114">
        <v>72600</v>
      </c>
      <c r="J2863" s="113"/>
    </row>
    <row r="2864" spans="4:10" x14ac:dyDescent="0.3">
      <c r="E2864">
        <v>1800</v>
      </c>
      <c r="F2864">
        <v>2200</v>
      </c>
      <c r="G2864">
        <v>660</v>
      </c>
      <c r="H2864" s="114">
        <v>60670</v>
      </c>
      <c r="I2864" s="114">
        <v>65360</v>
      </c>
      <c r="J2864" s="113"/>
    </row>
    <row r="2865" spans="4:10" x14ac:dyDescent="0.3">
      <c r="F2865">
        <v>2400</v>
      </c>
      <c r="G2865">
        <v>660</v>
      </c>
      <c r="H2865" s="114">
        <v>71030</v>
      </c>
      <c r="I2865" s="114">
        <v>76560</v>
      </c>
      <c r="J2865" s="113"/>
    </row>
    <row r="2866" spans="4:10" x14ac:dyDescent="0.3">
      <c r="E2866">
        <v>2000</v>
      </c>
      <c r="F2866">
        <v>2200</v>
      </c>
      <c r="G2866">
        <v>660</v>
      </c>
      <c r="H2866" s="114">
        <v>64240</v>
      </c>
      <c r="I2866" s="114">
        <v>69340</v>
      </c>
      <c r="J2866" s="113"/>
    </row>
    <row r="2867" spans="4:10" x14ac:dyDescent="0.3">
      <c r="F2867">
        <v>2400</v>
      </c>
      <c r="G2867">
        <v>660</v>
      </c>
      <c r="H2867" s="114">
        <v>74580</v>
      </c>
      <c r="I2867" s="114">
        <v>80540</v>
      </c>
      <c r="J2867" s="113"/>
    </row>
    <row r="2868" spans="4:10" x14ac:dyDescent="0.3">
      <c r="D2868" t="s">
        <v>517</v>
      </c>
      <c r="E2868">
        <v>1600</v>
      </c>
      <c r="F2868">
        <v>2200</v>
      </c>
      <c r="G2868">
        <v>660</v>
      </c>
      <c r="H2868" s="114">
        <v>48540</v>
      </c>
      <c r="I2868" s="114">
        <v>52800</v>
      </c>
      <c r="J2868" s="113"/>
    </row>
    <row r="2869" spans="4:10" x14ac:dyDescent="0.3">
      <c r="F2869">
        <v>2400</v>
      </c>
      <c r="G2869">
        <v>660</v>
      </c>
      <c r="H2869" s="114">
        <v>56520</v>
      </c>
      <c r="I2869" s="114">
        <v>61620</v>
      </c>
      <c r="J2869" s="113"/>
    </row>
    <row r="2870" spans="4:10" x14ac:dyDescent="0.3">
      <c r="E2870">
        <v>1800</v>
      </c>
      <c r="F2870">
        <v>2200</v>
      </c>
      <c r="G2870">
        <v>660</v>
      </c>
      <c r="H2870" s="114">
        <v>52070</v>
      </c>
      <c r="I2870" s="114">
        <v>56760</v>
      </c>
      <c r="J2870" s="113"/>
    </row>
    <row r="2871" spans="4:10" x14ac:dyDescent="0.3">
      <c r="F2871">
        <v>2400</v>
      </c>
      <c r="G2871">
        <v>660</v>
      </c>
      <c r="H2871" s="114">
        <v>60050</v>
      </c>
      <c r="I2871" s="114">
        <v>65580</v>
      </c>
      <c r="J2871" s="113"/>
    </row>
    <row r="2872" spans="4:10" x14ac:dyDescent="0.3">
      <c r="E2872">
        <v>2000</v>
      </c>
      <c r="F2872">
        <v>2200</v>
      </c>
      <c r="G2872">
        <v>660</v>
      </c>
      <c r="H2872" s="114">
        <v>55640</v>
      </c>
      <c r="I2872" s="114">
        <v>60740</v>
      </c>
      <c r="J2872" s="113"/>
    </row>
    <row r="2873" spans="4:10" x14ac:dyDescent="0.3">
      <c r="F2873">
        <v>2400</v>
      </c>
      <c r="G2873">
        <v>660</v>
      </c>
      <c r="H2873" s="114">
        <v>63600</v>
      </c>
      <c r="I2873" s="114">
        <v>69560</v>
      </c>
      <c r="J2873" s="113"/>
    </row>
    <row r="2874" spans="4:10" x14ac:dyDescent="0.3">
      <c r="D2874" t="s">
        <v>518</v>
      </c>
      <c r="E2874">
        <v>1600</v>
      </c>
      <c r="F2874">
        <v>2200</v>
      </c>
      <c r="G2874">
        <v>660</v>
      </c>
      <c r="H2874" s="114">
        <v>73400</v>
      </c>
      <c r="I2874" s="114">
        <v>77020</v>
      </c>
      <c r="J2874" s="113"/>
    </row>
    <row r="2875" spans="4:10" x14ac:dyDescent="0.3">
      <c r="F2875">
        <v>2400</v>
      </c>
      <c r="G2875">
        <v>660</v>
      </c>
      <c r="H2875" s="114">
        <v>87020</v>
      </c>
      <c r="I2875" s="114">
        <v>91480</v>
      </c>
      <c r="J2875" s="113"/>
    </row>
    <row r="2876" spans="4:10" x14ac:dyDescent="0.3">
      <c r="E2876">
        <v>1800</v>
      </c>
      <c r="F2876">
        <v>2200</v>
      </c>
      <c r="G2876">
        <v>660</v>
      </c>
      <c r="H2876" s="114">
        <v>76930</v>
      </c>
      <c r="I2876" s="114">
        <v>80980</v>
      </c>
      <c r="J2876" s="113"/>
    </row>
    <row r="2877" spans="4:10" x14ac:dyDescent="0.3">
      <c r="F2877">
        <v>2400</v>
      </c>
      <c r="G2877">
        <v>660</v>
      </c>
      <c r="H2877" s="114">
        <v>90550</v>
      </c>
      <c r="I2877" s="114">
        <v>95440</v>
      </c>
      <c r="J2877" s="113"/>
    </row>
    <row r="2878" spans="4:10" x14ac:dyDescent="0.3">
      <c r="E2878">
        <v>2000</v>
      </c>
      <c r="F2878">
        <v>2200</v>
      </c>
      <c r="G2878">
        <v>660</v>
      </c>
      <c r="H2878" s="114">
        <v>80500</v>
      </c>
      <c r="I2878" s="114">
        <v>84960</v>
      </c>
      <c r="J2878" s="113"/>
    </row>
    <row r="2879" spans="4:10" x14ac:dyDescent="0.3">
      <c r="F2879">
        <v>2400</v>
      </c>
      <c r="G2879">
        <v>660</v>
      </c>
      <c r="H2879" s="114">
        <v>94100</v>
      </c>
      <c r="I2879" s="114">
        <v>99420</v>
      </c>
      <c r="J2879" s="113"/>
    </row>
    <row r="2880" spans="4:10" x14ac:dyDescent="0.3">
      <c r="D2880" t="s">
        <v>519</v>
      </c>
      <c r="E2880">
        <v>1600</v>
      </c>
      <c r="F2880">
        <v>2200</v>
      </c>
      <c r="G2880">
        <v>660</v>
      </c>
      <c r="H2880" s="114">
        <v>64800</v>
      </c>
      <c r="I2880" s="114">
        <v>68420</v>
      </c>
      <c r="J2880" s="113"/>
    </row>
    <row r="2881" spans="4:10" x14ac:dyDescent="0.3">
      <c r="F2881">
        <v>2400</v>
      </c>
      <c r="G2881">
        <v>660</v>
      </c>
      <c r="H2881" s="114">
        <v>76040</v>
      </c>
      <c r="I2881" s="114">
        <v>80500</v>
      </c>
      <c r="J2881" s="113"/>
    </row>
    <row r="2882" spans="4:10" x14ac:dyDescent="0.3">
      <c r="E2882">
        <v>1800</v>
      </c>
      <c r="F2882">
        <v>2200</v>
      </c>
      <c r="G2882">
        <v>660</v>
      </c>
      <c r="H2882" s="114">
        <v>68330</v>
      </c>
      <c r="I2882" s="114">
        <v>72380</v>
      </c>
      <c r="J2882" s="113"/>
    </row>
    <row r="2883" spans="4:10" x14ac:dyDescent="0.3">
      <c r="F2883">
        <v>2400</v>
      </c>
      <c r="G2883">
        <v>660</v>
      </c>
      <c r="H2883" s="114">
        <v>79570</v>
      </c>
      <c r="I2883" s="114">
        <v>84460</v>
      </c>
      <c r="J2883" s="113"/>
    </row>
    <row r="2884" spans="4:10" x14ac:dyDescent="0.3">
      <c r="E2884">
        <v>2000</v>
      </c>
      <c r="F2884">
        <v>2200</v>
      </c>
      <c r="G2884">
        <v>660</v>
      </c>
      <c r="H2884" s="114">
        <v>71900</v>
      </c>
      <c r="I2884" s="114">
        <v>76360</v>
      </c>
      <c r="J2884" s="113"/>
    </row>
    <row r="2885" spans="4:10" x14ac:dyDescent="0.3">
      <c r="F2885">
        <v>2400</v>
      </c>
      <c r="G2885">
        <v>660</v>
      </c>
      <c r="H2885" s="114">
        <v>83120</v>
      </c>
      <c r="I2885" s="114">
        <v>88440</v>
      </c>
      <c r="J2885" s="113"/>
    </row>
    <row r="2886" spans="4:10" x14ac:dyDescent="0.3">
      <c r="D2886" t="s">
        <v>520</v>
      </c>
      <c r="E2886">
        <v>1600</v>
      </c>
      <c r="F2886">
        <v>2200</v>
      </c>
      <c r="G2886">
        <v>660</v>
      </c>
      <c r="H2886" s="114">
        <v>64800</v>
      </c>
      <c r="I2886" s="114">
        <v>68420</v>
      </c>
      <c r="J2886" s="113"/>
    </row>
    <row r="2887" spans="4:10" x14ac:dyDescent="0.3">
      <c r="F2887">
        <v>2400</v>
      </c>
      <c r="G2887">
        <v>660</v>
      </c>
      <c r="H2887" s="114">
        <v>76040</v>
      </c>
      <c r="I2887" s="114">
        <v>80500</v>
      </c>
      <c r="J2887" s="113"/>
    </row>
    <row r="2888" spans="4:10" x14ac:dyDescent="0.3">
      <c r="E2888">
        <v>1800</v>
      </c>
      <c r="F2888">
        <v>2200</v>
      </c>
      <c r="G2888">
        <v>660</v>
      </c>
      <c r="H2888" s="114">
        <v>68330</v>
      </c>
      <c r="I2888" s="114">
        <v>72380</v>
      </c>
      <c r="J2888" s="113"/>
    </row>
    <row r="2889" spans="4:10" x14ac:dyDescent="0.3">
      <c r="F2889">
        <v>2400</v>
      </c>
      <c r="G2889">
        <v>660</v>
      </c>
      <c r="H2889" s="114">
        <v>79570</v>
      </c>
      <c r="I2889" s="114">
        <v>84460</v>
      </c>
      <c r="J2889" s="113"/>
    </row>
    <row r="2890" spans="4:10" x14ac:dyDescent="0.3">
      <c r="E2890">
        <v>2000</v>
      </c>
      <c r="F2890">
        <v>2200</v>
      </c>
      <c r="G2890">
        <v>660</v>
      </c>
      <c r="H2890" s="114">
        <v>71900</v>
      </c>
      <c r="I2890" s="114">
        <v>76360</v>
      </c>
      <c r="J2890" s="113"/>
    </row>
    <row r="2891" spans="4:10" x14ac:dyDescent="0.3">
      <c r="F2891">
        <v>2400</v>
      </c>
      <c r="G2891">
        <v>660</v>
      </c>
      <c r="H2891" s="114">
        <v>83120</v>
      </c>
      <c r="I2891" s="114">
        <v>88440</v>
      </c>
      <c r="J2891" s="113"/>
    </row>
    <row r="2892" spans="4:10" x14ac:dyDescent="0.3">
      <c r="D2892" t="s">
        <v>521</v>
      </c>
      <c r="E2892">
        <v>1600</v>
      </c>
      <c r="F2892">
        <v>2200</v>
      </c>
      <c r="G2892">
        <v>660</v>
      </c>
      <c r="H2892" s="114">
        <v>64800</v>
      </c>
      <c r="I2892" s="114">
        <v>68420</v>
      </c>
      <c r="J2892" s="113"/>
    </row>
    <row r="2893" spans="4:10" x14ac:dyDescent="0.3">
      <c r="F2893">
        <v>2400</v>
      </c>
      <c r="G2893">
        <v>660</v>
      </c>
      <c r="H2893" s="114">
        <v>76040</v>
      </c>
      <c r="I2893" s="114">
        <v>80500</v>
      </c>
      <c r="J2893" s="113"/>
    </row>
    <row r="2894" spans="4:10" x14ac:dyDescent="0.3">
      <c r="E2894">
        <v>1800</v>
      </c>
      <c r="F2894">
        <v>2200</v>
      </c>
      <c r="G2894">
        <v>660</v>
      </c>
      <c r="H2894" s="114">
        <v>68330</v>
      </c>
      <c r="I2894" s="114">
        <v>72380</v>
      </c>
      <c r="J2894" s="113"/>
    </row>
    <row r="2895" spans="4:10" x14ac:dyDescent="0.3">
      <c r="F2895">
        <v>2400</v>
      </c>
      <c r="G2895">
        <v>660</v>
      </c>
      <c r="H2895" s="114">
        <v>79570</v>
      </c>
      <c r="I2895" s="114">
        <v>84460</v>
      </c>
      <c r="J2895" s="113"/>
    </row>
    <row r="2896" spans="4:10" x14ac:dyDescent="0.3">
      <c r="E2896">
        <v>2000</v>
      </c>
      <c r="F2896">
        <v>2200</v>
      </c>
      <c r="G2896">
        <v>660</v>
      </c>
      <c r="H2896" s="114">
        <v>71900</v>
      </c>
      <c r="I2896" s="114">
        <v>76360</v>
      </c>
      <c r="J2896" s="113"/>
    </row>
    <row r="2897" spans="4:10" x14ac:dyDescent="0.3">
      <c r="F2897">
        <v>2400</v>
      </c>
      <c r="G2897">
        <v>660</v>
      </c>
      <c r="H2897" s="114">
        <v>83120</v>
      </c>
      <c r="I2897" s="114">
        <v>88440</v>
      </c>
      <c r="J2897" s="113"/>
    </row>
    <row r="2898" spans="4:10" x14ac:dyDescent="0.3">
      <c r="D2898" t="s">
        <v>522</v>
      </c>
      <c r="E2898">
        <v>1600</v>
      </c>
      <c r="F2898">
        <v>2200</v>
      </c>
      <c r="G2898">
        <v>660</v>
      </c>
      <c r="H2898" s="114">
        <v>64800</v>
      </c>
      <c r="I2898" s="114">
        <v>68420</v>
      </c>
      <c r="J2898" s="113"/>
    </row>
    <row r="2899" spans="4:10" x14ac:dyDescent="0.3">
      <c r="F2899">
        <v>2400</v>
      </c>
      <c r="G2899">
        <v>660</v>
      </c>
      <c r="H2899" s="114">
        <v>76040</v>
      </c>
      <c r="I2899" s="114">
        <v>80500</v>
      </c>
      <c r="J2899" s="113"/>
    </row>
    <row r="2900" spans="4:10" x14ac:dyDescent="0.3">
      <c r="E2900">
        <v>1800</v>
      </c>
      <c r="F2900">
        <v>2200</v>
      </c>
      <c r="G2900">
        <v>660</v>
      </c>
      <c r="H2900" s="114">
        <v>68330</v>
      </c>
      <c r="I2900" s="114">
        <v>72380</v>
      </c>
      <c r="J2900" s="113"/>
    </row>
    <row r="2901" spans="4:10" x14ac:dyDescent="0.3">
      <c r="F2901">
        <v>2400</v>
      </c>
      <c r="G2901">
        <v>660</v>
      </c>
      <c r="H2901" s="114">
        <v>79570</v>
      </c>
      <c r="I2901" s="114">
        <v>84460</v>
      </c>
      <c r="J2901" s="113"/>
    </row>
    <row r="2902" spans="4:10" x14ac:dyDescent="0.3">
      <c r="E2902">
        <v>2000</v>
      </c>
      <c r="F2902">
        <v>2200</v>
      </c>
      <c r="G2902">
        <v>660</v>
      </c>
      <c r="H2902" s="114">
        <v>71900</v>
      </c>
      <c r="I2902" s="114">
        <v>76360</v>
      </c>
      <c r="J2902" s="113"/>
    </row>
    <row r="2903" spans="4:10" x14ac:dyDescent="0.3">
      <c r="F2903">
        <v>2400</v>
      </c>
      <c r="G2903">
        <v>660</v>
      </c>
      <c r="H2903" s="114">
        <v>83120</v>
      </c>
      <c r="I2903" s="114">
        <v>88440</v>
      </c>
      <c r="J2903" s="113"/>
    </row>
    <row r="2904" spans="4:10" x14ac:dyDescent="0.3">
      <c r="D2904" t="s">
        <v>523</v>
      </c>
      <c r="E2904">
        <v>1600</v>
      </c>
      <c r="F2904">
        <v>2200</v>
      </c>
      <c r="G2904">
        <v>660</v>
      </c>
      <c r="H2904" s="114">
        <v>73400</v>
      </c>
      <c r="I2904" s="114">
        <v>77020</v>
      </c>
      <c r="J2904" s="113"/>
    </row>
    <row r="2905" spans="4:10" x14ac:dyDescent="0.3">
      <c r="F2905">
        <v>2400</v>
      </c>
      <c r="G2905">
        <v>660</v>
      </c>
      <c r="H2905" s="114">
        <v>87020</v>
      </c>
      <c r="I2905" s="114">
        <v>91480</v>
      </c>
      <c r="J2905" s="113"/>
    </row>
    <row r="2906" spans="4:10" x14ac:dyDescent="0.3">
      <c r="E2906">
        <v>1800</v>
      </c>
      <c r="F2906">
        <v>2200</v>
      </c>
      <c r="G2906">
        <v>660</v>
      </c>
      <c r="H2906" s="114">
        <v>76930</v>
      </c>
      <c r="I2906" s="114">
        <v>80980</v>
      </c>
      <c r="J2906" s="113"/>
    </row>
    <row r="2907" spans="4:10" x14ac:dyDescent="0.3">
      <c r="F2907">
        <v>2400</v>
      </c>
      <c r="G2907">
        <v>660</v>
      </c>
      <c r="H2907" s="114">
        <v>90550</v>
      </c>
      <c r="I2907" s="114">
        <v>95440</v>
      </c>
      <c r="J2907" s="113"/>
    </row>
    <row r="2908" spans="4:10" x14ac:dyDescent="0.3">
      <c r="E2908">
        <v>2000</v>
      </c>
      <c r="F2908">
        <v>2200</v>
      </c>
      <c r="G2908">
        <v>660</v>
      </c>
      <c r="H2908" s="114">
        <v>80500</v>
      </c>
      <c r="I2908" s="114">
        <v>84960</v>
      </c>
      <c r="J2908" s="113"/>
    </row>
    <row r="2909" spans="4:10" x14ac:dyDescent="0.3">
      <c r="F2909">
        <v>2400</v>
      </c>
      <c r="G2909">
        <v>660</v>
      </c>
      <c r="H2909" s="114">
        <v>94100</v>
      </c>
      <c r="I2909" s="114">
        <v>99420</v>
      </c>
      <c r="J2909" s="113"/>
    </row>
    <row r="2910" spans="4:10" x14ac:dyDescent="0.3">
      <c r="D2910" t="s">
        <v>524</v>
      </c>
      <c r="E2910">
        <v>1600</v>
      </c>
      <c r="F2910">
        <v>2200</v>
      </c>
      <c r="G2910">
        <v>660</v>
      </c>
      <c r="H2910" s="114">
        <v>73400</v>
      </c>
      <c r="I2910" s="114">
        <v>77020</v>
      </c>
      <c r="J2910" s="113"/>
    </row>
    <row r="2911" spans="4:10" x14ac:dyDescent="0.3">
      <c r="F2911">
        <v>2400</v>
      </c>
      <c r="G2911">
        <v>660</v>
      </c>
      <c r="H2911" s="114">
        <v>87020</v>
      </c>
      <c r="I2911" s="114">
        <v>91480</v>
      </c>
      <c r="J2911" s="113"/>
    </row>
    <row r="2912" spans="4:10" x14ac:dyDescent="0.3">
      <c r="E2912">
        <v>1800</v>
      </c>
      <c r="F2912">
        <v>2200</v>
      </c>
      <c r="G2912">
        <v>660</v>
      </c>
      <c r="H2912" s="114">
        <v>76930</v>
      </c>
      <c r="I2912" s="114">
        <v>80980</v>
      </c>
      <c r="J2912" s="113"/>
    </row>
    <row r="2913" spans="3:10" x14ac:dyDescent="0.3">
      <c r="F2913">
        <v>2400</v>
      </c>
      <c r="G2913">
        <v>660</v>
      </c>
      <c r="H2913" s="114">
        <v>90550</v>
      </c>
      <c r="I2913" s="114">
        <v>95440</v>
      </c>
      <c r="J2913" s="113"/>
    </row>
    <row r="2914" spans="3:10" x14ac:dyDescent="0.3">
      <c r="E2914">
        <v>2000</v>
      </c>
      <c r="F2914">
        <v>2200</v>
      </c>
      <c r="G2914">
        <v>660</v>
      </c>
      <c r="H2914" s="114">
        <v>80500</v>
      </c>
      <c r="I2914" s="114">
        <v>84960</v>
      </c>
      <c r="J2914" s="113"/>
    </row>
    <row r="2915" spans="3:10" x14ac:dyDescent="0.3">
      <c r="F2915">
        <v>2400</v>
      </c>
      <c r="G2915">
        <v>660</v>
      </c>
      <c r="H2915" s="114">
        <v>94100</v>
      </c>
      <c r="I2915" s="114">
        <v>99420</v>
      </c>
      <c r="J2915" s="113"/>
    </row>
    <row r="2916" spans="3:10" x14ac:dyDescent="0.3">
      <c r="D2916" t="s">
        <v>525</v>
      </c>
      <c r="E2916">
        <v>1600</v>
      </c>
      <c r="F2916">
        <v>2200</v>
      </c>
      <c r="G2916">
        <v>660</v>
      </c>
      <c r="H2916" s="114">
        <v>73400</v>
      </c>
      <c r="I2916" s="114">
        <v>77020</v>
      </c>
      <c r="J2916" s="113"/>
    </row>
    <row r="2917" spans="3:10" x14ac:dyDescent="0.3">
      <c r="F2917">
        <v>2400</v>
      </c>
      <c r="G2917">
        <v>660</v>
      </c>
      <c r="H2917" s="114">
        <v>87020</v>
      </c>
      <c r="I2917" s="114">
        <v>91480</v>
      </c>
      <c r="J2917" s="113"/>
    </row>
    <row r="2918" spans="3:10" x14ac:dyDescent="0.3">
      <c r="E2918">
        <v>1800</v>
      </c>
      <c r="F2918">
        <v>2200</v>
      </c>
      <c r="G2918">
        <v>660</v>
      </c>
      <c r="H2918" s="114">
        <v>76930</v>
      </c>
      <c r="I2918" s="114">
        <v>80980</v>
      </c>
      <c r="J2918" s="113"/>
    </row>
    <row r="2919" spans="3:10" x14ac:dyDescent="0.3">
      <c r="F2919">
        <v>2400</v>
      </c>
      <c r="G2919">
        <v>660</v>
      </c>
      <c r="H2919" s="114">
        <v>90550</v>
      </c>
      <c r="I2919" s="114">
        <v>95440</v>
      </c>
      <c r="J2919" s="113"/>
    </row>
    <row r="2920" spans="3:10" x14ac:dyDescent="0.3">
      <c r="E2920">
        <v>2000</v>
      </c>
      <c r="F2920">
        <v>2200</v>
      </c>
      <c r="G2920">
        <v>660</v>
      </c>
      <c r="H2920" s="114">
        <v>80500</v>
      </c>
      <c r="I2920" s="114">
        <v>84960</v>
      </c>
      <c r="J2920" s="113"/>
    </row>
    <row r="2921" spans="3:10" x14ac:dyDescent="0.3">
      <c r="F2921">
        <v>2400</v>
      </c>
      <c r="G2921">
        <v>660</v>
      </c>
      <c r="H2921" s="114">
        <v>94100</v>
      </c>
      <c r="I2921" s="114">
        <v>99420</v>
      </c>
      <c r="J2921" s="113"/>
    </row>
    <row r="2922" spans="3:10" x14ac:dyDescent="0.3">
      <c r="C2922" t="s">
        <v>829</v>
      </c>
      <c r="D2922" t="s">
        <v>526</v>
      </c>
      <c r="E2922">
        <v>2400</v>
      </c>
      <c r="F2922">
        <v>2200</v>
      </c>
      <c r="G2922">
        <v>660</v>
      </c>
      <c r="H2922" s="114">
        <v>94520</v>
      </c>
      <c r="I2922" s="114">
        <v>99630</v>
      </c>
      <c r="J2922" s="113"/>
    </row>
    <row r="2923" spans="3:10" x14ac:dyDescent="0.3">
      <c r="F2923">
        <v>2400</v>
      </c>
      <c r="G2923">
        <v>660</v>
      </c>
      <c r="H2923" s="114">
        <v>109600</v>
      </c>
      <c r="I2923" s="114">
        <v>115780</v>
      </c>
      <c r="J2923" s="113"/>
    </row>
    <row r="2924" spans="3:10" x14ac:dyDescent="0.3">
      <c r="E2924">
        <v>2700</v>
      </c>
      <c r="F2924">
        <v>2200</v>
      </c>
      <c r="G2924">
        <v>660</v>
      </c>
      <c r="H2924" s="114">
        <v>98080</v>
      </c>
      <c r="I2924" s="114">
        <v>103610</v>
      </c>
      <c r="J2924" s="113"/>
    </row>
    <row r="2925" spans="3:10" x14ac:dyDescent="0.3">
      <c r="F2925">
        <v>2400</v>
      </c>
      <c r="G2925">
        <v>660</v>
      </c>
      <c r="H2925" s="114">
        <v>113160</v>
      </c>
      <c r="I2925" s="114">
        <v>119750</v>
      </c>
      <c r="J2925" s="113"/>
    </row>
    <row r="2926" spans="3:10" x14ac:dyDescent="0.3">
      <c r="E2926">
        <v>3000</v>
      </c>
      <c r="F2926">
        <v>2200</v>
      </c>
      <c r="G2926">
        <v>660</v>
      </c>
      <c r="H2926" s="114">
        <v>101620</v>
      </c>
      <c r="I2926" s="114">
        <v>107580</v>
      </c>
      <c r="J2926" s="113"/>
    </row>
    <row r="2927" spans="3:10" x14ac:dyDescent="0.3">
      <c r="F2927">
        <v>2400</v>
      </c>
      <c r="G2927">
        <v>660</v>
      </c>
      <c r="H2927" s="114">
        <v>118470</v>
      </c>
      <c r="I2927" s="114">
        <v>125710</v>
      </c>
      <c r="J2927" s="113"/>
    </row>
    <row r="2928" spans="3:10" x14ac:dyDescent="0.3">
      <c r="D2928" t="s">
        <v>527</v>
      </c>
      <c r="E2928">
        <v>2400</v>
      </c>
      <c r="F2928">
        <v>2200</v>
      </c>
      <c r="G2928">
        <v>660</v>
      </c>
      <c r="H2928" s="114">
        <v>94520</v>
      </c>
      <c r="I2928" s="114">
        <v>99630</v>
      </c>
      <c r="J2928" s="113"/>
    </row>
    <row r="2929" spans="4:10" x14ac:dyDescent="0.3">
      <c r="F2929">
        <v>2400</v>
      </c>
      <c r="G2929">
        <v>660</v>
      </c>
      <c r="H2929" s="114">
        <v>109600</v>
      </c>
      <c r="I2929" s="114">
        <v>115780</v>
      </c>
      <c r="J2929" s="113"/>
    </row>
    <row r="2930" spans="4:10" x14ac:dyDescent="0.3">
      <c r="E2930">
        <v>2700</v>
      </c>
      <c r="F2930">
        <v>2200</v>
      </c>
      <c r="G2930">
        <v>660</v>
      </c>
      <c r="H2930" s="114">
        <v>98080</v>
      </c>
      <c r="I2930" s="114">
        <v>103610</v>
      </c>
      <c r="J2930" s="113"/>
    </row>
    <row r="2931" spans="4:10" x14ac:dyDescent="0.3">
      <c r="F2931">
        <v>2400</v>
      </c>
      <c r="G2931">
        <v>660</v>
      </c>
      <c r="H2931" s="114">
        <v>113160</v>
      </c>
      <c r="I2931" s="114">
        <v>119750</v>
      </c>
      <c r="J2931" s="113"/>
    </row>
    <row r="2932" spans="4:10" x14ac:dyDescent="0.3">
      <c r="E2932">
        <v>3000</v>
      </c>
      <c r="F2932">
        <v>2200</v>
      </c>
      <c r="G2932">
        <v>660</v>
      </c>
      <c r="H2932" s="114">
        <v>101620</v>
      </c>
      <c r="I2932" s="114">
        <v>107580</v>
      </c>
      <c r="J2932" s="113"/>
    </row>
    <row r="2933" spans="4:10" x14ac:dyDescent="0.3">
      <c r="F2933">
        <v>2400</v>
      </c>
      <c r="G2933">
        <v>660</v>
      </c>
      <c r="H2933" s="114">
        <v>118470</v>
      </c>
      <c r="I2933" s="114">
        <v>125710</v>
      </c>
      <c r="J2933" s="113"/>
    </row>
    <row r="2934" spans="4:10" x14ac:dyDescent="0.3">
      <c r="D2934" t="s">
        <v>528</v>
      </c>
      <c r="E2934">
        <v>2400</v>
      </c>
      <c r="F2934">
        <v>2200</v>
      </c>
      <c r="G2934">
        <v>660</v>
      </c>
      <c r="H2934" s="114">
        <v>78110</v>
      </c>
      <c r="I2934" s="114">
        <v>83220</v>
      </c>
      <c r="J2934" s="113"/>
    </row>
    <row r="2935" spans="4:10" x14ac:dyDescent="0.3">
      <c r="F2935">
        <v>2400</v>
      </c>
      <c r="G2935">
        <v>660</v>
      </c>
      <c r="H2935" s="114">
        <v>89200</v>
      </c>
      <c r="I2935" s="114">
        <v>95380</v>
      </c>
      <c r="J2935" s="113"/>
    </row>
    <row r="2936" spans="4:10" x14ac:dyDescent="0.3">
      <c r="E2936">
        <v>2700</v>
      </c>
      <c r="F2936">
        <v>2200</v>
      </c>
      <c r="G2936">
        <v>660</v>
      </c>
      <c r="H2936" s="114">
        <v>81670</v>
      </c>
      <c r="I2936" s="114">
        <v>87200</v>
      </c>
      <c r="J2936" s="113"/>
    </row>
    <row r="2937" spans="4:10" x14ac:dyDescent="0.3">
      <c r="F2937">
        <v>2400</v>
      </c>
      <c r="G2937">
        <v>660</v>
      </c>
      <c r="H2937" s="114">
        <v>92760</v>
      </c>
      <c r="I2937" s="114">
        <v>99350</v>
      </c>
      <c r="J2937" s="113"/>
    </row>
    <row r="2938" spans="4:10" x14ac:dyDescent="0.3">
      <c r="E2938">
        <v>3000</v>
      </c>
      <c r="F2938">
        <v>2200</v>
      </c>
      <c r="G2938">
        <v>660</v>
      </c>
      <c r="H2938" s="114">
        <v>85210</v>
      </c>
      <c r="I2938" s="114">
        <v>91170</v>
      </c>
      <c r="J2938" s="113"/>
    </row>
    <row r="2939" spans="4:10" x14ac:dyDescent="0.3">
      <c r="F2939">
        <v>2400</v>
      </c>
      <c r="G2939">
        <v>660</v>
      </c>
      <c r="H2939" s="114">
        <v>98070</v>
      </c>
      <c r="I2939" s="114">
        <v>105310</v>
      </c>
      <c r="J2939" s="113"/>
    </row>
    <row r="2940" spans="4:10" x14ac:dyDescent="0.3">
      <c r="D2940" t="s">
        <v>529</v>
      </c>
      <c r="E2940">
        <v>2400</v>
      </c>
      <c r="F2940">
        <v>2200</v>
      </c>
      <c r="G2940">
        <v>660</v>
      </c>
      <c r="H2940" s="114">
        <v>70130</v>
      </c>
      <c r="I2940" s="114">
        <v>76200</v>
      </c>
      <c r="J2940" s="113"/>
    </row>
    <row r="2941" spans="4:10" x14ac:dyDescent="0.3">
      <c r="F2941">
        <v>2400</v>
      </c>
      <c r="G2941">
        <v>660</v>
      </c>
      <c r="H2941" s="114">
        <v>80320</v>
      </c>
      <c r="I2941" s="114">
        <v>87460</v>
      </c>
      <c r="J2941" s="113"/>
    </row>
    <row r="2942" spans="4:10" x14ac:dyDescent="0.3">
      <c r="E2942">
        <v>2700</v>
      </c>
      <c r="F2942">
        <v>2200</v>
      </c>
      <c r="G2942">
        <v>660</v>
      </c>
      <c r="H2942" s="114">
        <v>73690</v>
      </c>
      <c r="I2942" s="114">
        <v>80180</v>
      </c>
      <c r="J2942" s="113"/>
    </row>
    <row r="2943" spans="4:10" x14ac:dyDescent="0.3">
      <c r="F2943">
        <v>2400</v>
      </c>
      <c r="G2943">
        <v>660</v>
      </c>
      <c r="H2943" s="114">
        <v>83880</v>
      </c>
      <c r="I2943" s="114">
        <v>91430</v>
      </c>
      <c r="J2943" s="113"/>
    </row>
    <row r="2944" spans="4:10" x14ac:dyDescent="0.3">
      <c r="E2944">
        <v>3000</v>
      </c>
      <c r="F2944">
        <v>2200</v>
      </c>
      <c r="G2944">
        <v>660</v>
      </c>
      <c r="H2944" s="114">
        <v>77230</v>
      </c>
      <c r="I2944" s="114">
        <v>84150</v>
      </c>
      <c r="J2944" s="113"/>
    </row>
    <row r="2945" spans="4:10" x14ac:dyDescent="0.3">
      <c r="F2945">
        <v>2400</v>
      </c>
      <c r="G2945">
        <v>660</v>
      </c>
      <c r="H2945" s="114">
        <v>89190</v>
      </c>
      <c r="I2945" s="114">
        <v>97390</v>
      </c>
      <c r="J2945" s="113"/>
    </row>
    <row r="2946" spans="4:10" x14ac:dyDescent="0.3">
      <c r="D2946" t="s">
        <v>530</v>
      </c>
      <c r="E2946">
        <v>2400</v>
      </c>
      <c r="F2946">
        <v>2200</v>
      </c>
      <c r="G2946">
        <v>660</v>
      </c>
      <c r="H2946" s="114">
        <v>94520</v>
      </c>
      <c r="I2946" s="114">
        <v>99630</v>
      </c>
      <c r="J2946" s="113"/>
    </row>
    <row r="2947" spans="4:10" x14ac:dyDescent="0.3">
      <c r="F2947">
        <v>2400</v>
      </c>
      <c r="G2947">
        <v>660</v>
      </c>
      <c r="H2947" s="114">
        <v>109600</v>
      </c>
      <c r="I2947" s="114">
        <v>115780</v>
      </c>
      <c r="J2947" s="113"/>
    </row>
    <row r="2948" spans="4:10" x14ac:dyDescent="0.3">
      <c r="E2948">
        <v>2700</v>
      </c>
      <c r="F2948">
        <v>2200</v>
      </c>
      <c r="G2948">
        <v>660</v>
      </c>
      <c r="H2948" s="114">
        <v>98080</v>
      </c>
      <c r="I2948" s="114">
        <v>103610</v>
      </c>
      <c r="J2948" s="113"/>
    </row>
    <row r="2949" spans="4:10" x14ac:dyDescent="0.3">
      <c r="F2949">
        <v>2400</v>
      </c>
      <c r="G2949">
        <v>660</v>
      </c>
      <c r="H2949" s="114">
        <v>113160</v>
      </c>
      <c r="I2949" s="114">
        <v>119750</v>
      </c>
      <c r="J2949" s="113"/>
    </row>
    <row r="2950" spans="4:10" x14ac:dyDescent="0.3">
      <c r="E2950">
        <v>3000</v>
      </c>
      <c r="F2950">
        <v>2200</v>
      </c>
      <c r="G2950">
        <v>660</v>
      </c>
      <c r="H2950" s="114">
        <v>101620</v>
      </c>
      <c r="I2950" s="114">
        <v>107580</v>
      </c>
      <c r="J2950" s="113"/>
    </row>
    <row r="2951" spans="4:10" x14ac:dyDescent="0.3">
      <c r="F2951">
        <v>2400</v>
      </c>
      <c r="G2951">
        <v>660</v>
      </c>
      <c r="H2951" s="114">
        <v>118470</v>
      </c>
      <c r="I2951" s="114">
        <v>125710</v>
      </c>
      <c r="J2951" s="113"/>
    </row>
    <row r="2952" spans="4:10" x14ac:dyDescent="0.3">
      <c r="D2952" t="s">
        <v>531</v>
      </c>
      <c r="E2952">
        <v>2400</v>
      </c>
      <c r="F2952">
        <v>2200</v>
      </c>
      <c r="G2952">
        <v>660</v>
      </c>
      <c r="H2952" s="114">
        <v>94520</v>
      </c>
      <c r="I2952" s="114">
        <v>99630</v>
      </c>
      <c r="J2952" s="113"/>
    </row>
    <row r="2953" spans="4:10" x14ac:dyDescent="0.3">
      <c r="F2953">
        <v>2400</v>
      </c>
      <c r="G2953">
        <v>660</v>
      </c>
      <c r="H2953" s="114">
        <v>109600</v>
      </c>
      <c r="I2953" s="114">
        <v>115780</v>
      </c>
      <c r="J2953" s="113"/>
    </row>
    <row r="2954" spans="4:10" x14ac:dyDescent="0.3">
      <c r="E2954">
        <v>2700</v>
      </c>
      <c r="F2954">
        <v>2200</v>
      </c>
      <c r="G2954">
        <v>660</v>
      </c>
      <c r="H2954" s="114">
        <v>98080</v>
      </c>
      <c r="I2954" s="114">
        <v>103610</v>
      </c>
      <c r="J2954" s="113"/>
    </row>
    <row r="2955" spans="4:10" x14ac:dyDescent="0.3">
      <c r="F2955">
        <v>2400</v>
      </c>
      <c r="G2955">
        <v>660</v>
      </c>
      <c r="H2955" s="114">
        <v>113160</v>
      </c>
      <c r="I2955" s="114">
        <v>119750</v>
      </c>
      <c r="J2955" s="113"/>
    </row>
    <row r="2956" spans="4:10" x14ac:dyDescent="0.3">
      <c r="E2956">
        <v>3000</v>
      </c>
      <c r="F2956">
        <v>2200</v>
      </c>
      <c r="G2956">
        <v>660</v>
      </c>
      <c r="H2956" s="114">
        <v>101620</v>
      </c>
      <c r="I2956" s="114">
        <v>107580</v>
      </c>
      <c r="J2956" s="113"/>
    </row>
    <row r="2957" spans="4:10" x14ac:dyDescent="0.3">
      <c r="F2957">
        <v>2400</v>
      </c>
      <c r="G2957">
        <v>660</v>
      </c>
      <c r="H2957" s="114">
        <v>118470</v>
      </c>
      <c r="I2957" s="114">
        <v>125710</v>
      </c>
      <c r="J2957" s="113"/>
    </row>
    <row r="2958" spans="4:10" x14ac:dyDescent="0.3">
      <c r="D2958" t="s">
        <v>532</v>
      </c>
      <c r="E2958">
        <v>2400</v>
      </c>
      <c r="F2958">
        <v>2200</v>
      </c>
      <c r="G2958">
        <v>660</v>
      </c>
      <c r="H2958" s="114">
        <v>94520</v>
      </c>
      <c r="I2958" s="114">
        <v>99630</v>
      </c>
      <c r="J2958" s="113"/>
    </row>
    <row r="2959" spans="4:10" x14ac:dyDescent="0.3">
      <c r="F2959">
        <v>2400</v>
      </c>
      <c r="G2959">
        <v>660</v>
      </c>
      <c r="H2959" s="114">
        <v>109600</v>
      </c>
      <c r="I2959" s="114">
        <v>115780</v>
      </c>
      <c r="J2959" s="113"/>
    </row>
    <row r="2960" spans="4:10" x14ac:dyDescent="0.3">
      <c r="E2960">
        <v>2700</v>
      </c>
      <c r="F2960">
        <v>2200</v>
      </c>
      <c r="G2960">
        <v>660</v>
      </c>
      <c r="H2960" s="114">
        <v>98080</v>
      </c>
      <c r="I2960" s="114">
        <v>103610</v>
      </c>
      <c r="J2960" s="113"/>
    </row>
    <row r="2961" spans="4:10" x14ac:dyDescent="0.3">
      <c r="F2961">
        <v>2400</v>
      </c>
      <c r="G2961">
        <v>660</v>
      </c>
      <c r="H2961" s="114">
        <v>113160</v>
      </c>
      <c r="I2961" s="114">
        <v>119750</v>
      </c>
      <c r="J2961" s="113"/>
    </row>
    <row r="2962" spans="4:10" x14ac:dyDescent="0.3">
      <c r="E2962">
        <v>3000</v>
      </c>
      <c r="F2962">
        <v>2200</v>
      </c>
      <c r="G2962">
        <v>660</v>
      </c>
      <c r="H2962" s="114">
        <v>101620</v>
      </c>
      <c r="I2962" s="114">
        <v>107580</v>
      </c>
      <c r="J2962" s="113"/>
    </row>
    <row r="2963" spans="4:10" x14ac:dyDescent="0.3">
      <c r="F2963">
        <v>2400</v>
      </c>
      <c r="G2963">
        <v>660</v>
      </c>
      <c r="H2963" s="114">
        <v>118470</v>
      </c>
      <c r="I2963" s="114">
        <v>125710</v>
      </c>
      <c r="J2963" s="113"/>
    </row>
    <row r="2964" spans="4:10" x14ac:dyDescent="0.3">
      <c r="D2964" t="s">
        <v>533</v>
      </c>
      <c r="E2964">
        <v>2400</v>
      </c>
      <c r="F2964">
        <v>2200</v>
      </c>
      <c r="G2964">
        <v>660</v>
      </c>
      <c r="H2964" s="114">
        <v>94520</v>
      </c>
      <c r="I2964" s="114">
        <v>99630</v>
      </c>
      <c r="J2964" s="113"/>
    </row>
    <row r="2965" spans="4:10" x14ac:dyDescent="0.3">
      <c r="F2965">
        <v>2400</v>
      </c>
      <c r="G2965">
        <v>660</v>
      </c>
      <c r="H2965" s="114">
        <v>109600</v>
      </c>
      <c r="I2965" s="114">
        <v>115780</v>
      </c>
      <c r="J2965" s="113"/>
    </row>
    <row r="2966" spans="4:10" x14ac:dyDescent="0.3">
      <c r="E2966">
        <v>2700</v>
      </c>
      <c r="F2966">
        <v>2200</v>
      </c>
      <c r="G2966">
        <v>660</v>
      </c>
      <c r="H2966" s="114">
        <v>98080</v>
      </c>
      <c r="I2966" s="114">
        <v>103610</v>
      </c>
      <c r="J2966" s="113"/>
    </row>
    <row r="2967" spans="4:10" x14ac:dyDescent="0.3">
      <c r="F2967">
        <v>2400</v>
      </c>
      <c r="G2967">
        <v>660</v>
      </c>
      <c r="H2967" s="114">
        <v>113160</v>
      </c>
      <c r="I2967" s="114">
        <v>119750</v>
      </c>
      <c r="J2967" s="113"/>
    </row>
    <row r="2968" spans="4:10" x14ac:dyDescent="0.3">
      <c r="E2968">
        <v>3000</v>
      </c>
      <c r="F2968">
        <v>2200</v>
      </c>
      <c r="G2968">
        <v>660</v>
      </c>
      <c r="H2968" s="114">
        <v>101620</v>
      </c>
      <c r="I2968" s="114">
        <v>107580</v>
      </c>
      <c r="J2968" s="113"/>
    </row>
    <row r="2969" spans="4:10" x14ac:dyDescent="0.3">
      <c r="F2969">
        <v>2400</v>
      </c>
      <c r="G2969">
        <v>660</v>
      </c>
      <c r="H2969" s="114">
        <v>118470</v>
      </c>
      <c r="I2969" s="114">
        <v>125710</v>
      </c>
      <c r="J2969" s="113"/>
    </row>
    <row r="2970" spans="4:10" x14ac:dyDescent="0.3">
      <c r="D2970" t="s">
        <v>534</v>
      </c>
      <c r="E2970">
        <v>2400</v>
      </c>
      <c r="F2970">
        <v>2200</v>
      </c>
      <c r="G2970">
        <v>660</v>
      </c>
      <c r="H2970" s="114">
        <v>81620</v>
      </c>
      <c r="I2970" s="114">
        <v>86730</v>
      </c>
      <c r="J2970" s="113"/>
    </row>
    <row r="2971" spans="4:10" x14ac:dyDescent="0.3">
      <c r="F2971">
        <v>2400</v>
      </c>
      <c r="G2971">
        <v>660</v>
      </c>
      <c r="H2971" s="114">
        <v>93130</v>
      </c>
      <c r="I2971" s="114">
        <v>99310</v>
      </c>
      <c r="J2971" s="113"/>
    </row>
    <row r="2972" spans="4:10" x14ac:dyDescent="0.3">
      <c r="E2972">
        <v>2700</v>
      </c>
      <c r="F2972">
        <v>2200</v>
      </c>
      <c r="G2972">
        <v>660</v>
      </c>
      <c r="H2972" s="114">
        <v>85180</v>
      </c>
      <c r="I2972" s="114">
        <v>90710</v>
      </c>
      <c r="J2972" s="113"/>
    </row>
    <row r="2973" spans="4:10" x14ac:dyDescent="0.3">
      <c r="F2973">
        <v>2400</v>
      </c>
      <c r="G2973">
        <v>660</v>
      </c>
      <c r="H2973" s="114">
        <v>96690</v>
      </c>
      <c r="I2973" s="114">
        <v>103280</v>
      </c>
      <c r="J2973" s="113"/>
    </row>
    <row r="2974" spans="4:10" x14ac:dyDescent="0.3">
      <c r="E2974">
        <v>3000</v>
      </c>
      <c r="F2974">
        <v>2200</v>
      </c>
      <c r="G2974">
        <v>660</v>
      </c>
      <c r="H2974" s="114">
        <v>88720</v>
      </c>
      <c r="I2974" s="114">
        <v>94680</v>
      </c>
      <c r="J2974" s="113"/>
    </row>
    <row r="2975" spans="4:10" x14ac:dyDescent="0.3">
      <c r="F2975">
        <v>2400</v>
      </c>
      <c r="G2975">
        <v>660</v>
      </c>
      <c r="H2975" s="114">
        <v>102000</v>
      </c>
      <c r="I2975" s="114">
        <v>109240</v>
      </c>
      <c r="J2975" s="113"/>
    </row>
    <row r="2976" spans="4:10" x14ac:dyDescent="0.3">
      <c r="D2976" t="s">
        <v>535</v>
      </c>
      <c r="E2976">
        <v>2400</v>
      </c>
      <c r="F2976">
        <v>2200</v>
      </c>
      <c r="G2976">
        <v>660</v>
      </c>
      <c r="H2976" s="114">
        <v>94520</v>
      </c>
      <c r="I2976" s="114">
        <v>99630</v>
      </c>
      <c r="J2976" s="113"/>
    </row>
    <row r="2977" spans="4:10" x14ac:dyDescent="0.3">
      <c r="F2977">
        <v>2400</v>
      </c>
      <c r="G2977">
        <v>660</v>
      </c>
      <c r="H2977" s="114">
        <v>109600</v>
      </c>
      <c r="I2977" s="114">
        <v>115780</v>
      </c>
      <c r="J2977" s="113"/>
    </row>
    <row r="2978" spans="4:10" x14ac:dyDescent="0.3">
      <c r="E2978">
        <v>2700</v>
      </c>
      <c r="F2978">
        <v>2200</v>
      </c>
      <c r="G2978">
        <v>660</v>
      </c>
      <c r="H2978" s="114">
        <v>98080</v>
      </c>
      <c r="I2978" s="114">
        <v>103610</v>
      </c>
      <c r="J2978" s="113"/>
    </row>
    <row r="2979" spans="4:10" x14ac:dyDescent="0.3">
      <c r="F2979">
        <v>2400</v>
      </c>
      <c r="G2979">
        <v>660</v>
      </c>
      <c r="H2979" s="114">
        <v>113160</v>
      </c>
      <c r="I2979" s="114">
        <v>119750</v>
      </c>
      <c r="J2979" s="113"/>
    </row>
    <row r="2980" spans="4:10" x14ac:dyDescent="0.3">
      <c r="E2980">
        <v>3000</v>
      </c>
      <c r="F2980">
        <v>2200</v>
      </c>
      <c r="G2980">
        <v>660</v>
      </c>
      <c r="H2980" s="114">
        <v>101620</v>
      </c>
      <c r="I2980" s="114">
        <v>107580</v>
      </c>
      <c r="J2980" s="113"/>
    </row>
    <row r="2981" spans="4:10" x14ac:dyDescent="0.3">
      <c r="F2981">
        <v>2400</v>
      </c>
      <c r="G2981">
        <v>660</v>
      </c>
      <c r="H2981" s="114">
        <v>118470</v>
      </c>
      <c r="I2981" s="114">
        <v>125710</v>
      </c>
      <c r="J2981" s="113"/>
    </row>
    <row r="2982" spans="4:10" x14ac:dyDescent="0.3">
      <c r="D2982" t="s">
        <v>536</v>
      </c>
      <c r="E2982">
        <v>2400</v>
      </c>
      <c r="F2982">
        <v>2200</v>
      </c>
      <c r="G2982">
        <v>660</v>
      </c>
      <c r="H2982" s="114">
        <v>91010</v>
      </c>
      <c r="I2982" s="114">
        <v>96120</v>
      </c>
      <c r="J2982" s="113"/>
    </row>
    <row r="2983" spans="4:10" x14ac:dyDescent="0.3">
      <c r="F2983">
        <v>2400</v>
      </c>
      <c r="G2983">
        <v>660</v>
      </c>
      <c r="H2983" s="114">
        <v>105670</v>
      </c>
      <c r="I2983" s="114">
        <v>111850</v>
      </c>
      <c r="J2983" s="113"/>
    </row>
    <row r="2984" spans="4:10" x14ac:dyDescent="0.3">
      <c r="E2984">
        <v>2700</v>
      </c>
      <c r="F2984">
        <v>2200</v>
      </c>
      <c r="G2984">
        <v>660</v>
      </c>
      <c r="H2984" s="114">
        <v>94570</v>
      </c>
      <c r="I2984" s="114">
        <v>100100</v>
      </c>
      <c r="J2984" s="113"/>
    </row>
    <row r="2985" spans="4:10" x14ac:dyDescent="0.3">
      <c r="F2985">
        <v>2400</v>
      </c>
      <c r="G2985">
        <v>660</v>
      </c>
      <c r="H2985" s="114">
        <v>109230</v>
      </c>
      <c r="I2985" s="114">
        <v>115820</v>
      </c>
      <c r="J2985" s="113"/>
    </row>
    <row r="2986" spans="4:10" x14ac:dyDescent="0.3">
      <c r="E2986">
        <v>3000</v>
      </c>
      <c r="F2986">
        <v>2200</v>
      </c>
      <c r="G2986">
        <v>660</v>
      </c>
      <c r="H2986" s="114">
        <v>98110</v>
      </c>
      <c r="I2986" s="114">
        <v>104070</v>
      </c>
      <c r="J2986" s="113"/>
    </row>
    <row r="2987" spans="4:10" x14ac:dyDescent="0.3">
      <c r="F2987">
        <v>2400</v>
      </c>
      <c r="G2987">
        <v>660</v>
      </c>
      <c r="H2987" s="114">
        <v>114540</v>
      </c>
      <c r="I2987" s="114">
        <v>121780</v>
      </c>
      <c r="J2987" s="113"/>
    </row>
    <row r="2988" spans="4:10" x14ac:dyDescent="0.3">
      <c r="D2988" t="s">
        <v>537</v>
      </c>
      <c r="E2988">
        <v>2400</v>
      </c>
      <c r="F2988">
        <v>2200</v>
      </c>
      <c r="G2988">
        <v>660</v>
      </c>
      <c r="H2988" s="114">
        <v>83030</v>
      </c>
      <c r="I2988" s="114">
        <v>89100</v>
      </c>
      <c r="J2988" s="113"/>
    </row>
    <row r="2989" spans="4:10" x14ac:dyDescent="0.3">
      <c r="F2989">
        <v>2400</v>
      </c>
      <c r="G2989">
        <v>660</v>
      </c>
      <c r="H2989" s="114">
        <v>96790</v>
      </c>
      <c r="I2989" s="114">
        <v>103930</v>
      </c>
      <c r="J2989" s="113"/>
    </row>
    <row r="2990" spans="4:10" x14ac:dyDescent="0.3">
      <c r="E2990">
        <v>2700</v>
      </c>
      <c r="F2990">
        <v>2200</v>
      </c>
      <c r="G2990">
        <v>660</v>
      </c>
      <c r="H2990" s="114">
        <v>86590</v>
      </c>
      <c r="I2990" s="114">
        <v>93080</v>
      </c>
      <c r="J2990" s="113"/>
    </row>
    <row r="2991" spans="4:10" x14ac:dyDescent="0.3">
      <c r="F2991">
        <v>2400</v>
      </c>
      <c r="G2991">
        <v>660</v>
      </c>
      <c r="H2991" s="114">
        <v>100350</v>
      </c>
      <c r="I2991" s="114">
        <v>107900</v>
      </c>
      <c r="J2991" s="113"/>
    </row>
    <row r="2992" spans="4:10" x14ac:dyDescent="0.3">
      <c r="E2992">
        <v>3000</v>
      </c>
      <c r="F2992">
        <v>2200</v>
      </c>
      <c r="G2992">
        <v>660</v>
      </c>
      <c r="H2992" s="114">
        <v>90130</v>
      </c>
      <c r="I2992" s="114">
        <v>97050</v>
      </c>
      <c r="J2992" s="113"/>
    </row>
    <row r="2993" spans="4:10" x14ac:dyDescent="0.3">
      <c r="F2993">
        <v>2400</v>
      </c>
      <c r="G2993">
        <v>660</v>
      </c>
      <c r="H2993" s="114">
        <v>105660</v>
      </c>
      <c r="I2993" s="114">
        <v>113860</v>
      </c>
      <c r="J2993" s="113"/>
    </row>
    <row r="2994" spans="4:10" x14ac:dyDescent="0.3">
      <c r="D2994" t="s">
        <v>538</v>
      </c>
      <c r="E2994">
        <v>2400</v>
      </c>
      <c r="F2994">
        <v>2200</v>
      </c>
      <c r="G2994">
        <v>660</v>
      </c>
      <c r="H2994" s="114">
        <v>107420</v>
      </c>
      <c r="I2994" s="114">
        <v>112530</v>
      </c>
      <c r="J2994" s="113"/>
    </row>
    <row r="2995" spans="4:10" x14ac:dyDescent="0.3">
      <c r="F2995">
        <v>2400</v>
      </c>
      <c r="G2995">
        <v>660</v>
      </c>
      <c r="H2995" s="114">
        <v>126070</v>
      </c>
      <c r="I2995" s="114">
        <v>132250</v>
      </c>
      <c r="J2995" s="113"/>
    </row>
    <row r="2996" spans="4:10" x14ac:dyDescent="0.3">
      <c r="E2996">
        <v>2700</v>
      </c>
      <c r="F2996">
        <v>2200</v>
      </c>
      <c r="G2996">
        <v>660</v>
      </c>
      <c r="H2996" s="114">
        <v>110980</v>
      </c>
      <c r="I2996" s="114">
        <v>116510</v>
      </c>
      <c r="J2996" s="113"/>
    </row>
    <row r="2997" spans="4:10" x14ac:dyDescent="0.3">
      <c r="F2997">
        <v>2400</v>
      </c>
      <c r="G2997">
        <v>660</v>
      </c>
      <c r="H2997" s="114">
        <v>129630</v>
      </c>
      <c r="I2997" s="114">
        <v>136220</v>
      </c>
      <c r="J2997" s="113"/>
    </row>
    <row r="2998" spans="4:10" x14ac:dyDescent="0.3">
      <c r="E2998">
        <v>3000</v>
      </c>
      <c r="F2998">
        <v>2200</v>
      </c>
      <c r="G2998">
        <v>660</v>
      </c>
      <c r="H2998" s="114">
        <v>114520</v>
      </c>
      <c r="I2998" s="114">
        <v>120480</v>
      </c>
      <c r="J2998" s="113"/>
    </row>
    <row r="2999" spans="4:10" x14ac:dyDescent="0.3">
      <c r="F2999">
        <v>2400</v>
      </c>
      <c r="G2999">
        <v>660</v>
      </c>
      <c r="H2999" s="114">
        <v>134940</v>
      </c>
      <c r="I2999" s="114">
        <v>142180</v>
      </c>
      <c r="J2999" s="113"/>
    </row>
    <row r="3000" spans="4:10" x14ac:dyDescent="0.3">
      <c r="D3000" t="s">
        <v>539</v>
      </c>
      <c r="E3000">
        <v>2400</v>
      </c>
      <c r="F3000">
        <v>2200</v>
      </c>
      <c r="G3000">
        <v>660</v>
      </c>
      <c r="H3000" s="114">
        <v>107420</v>
      </c>
      <c r="I3000" s="114">
        <v>112530</v>
      </c>
      <c r="J3000" s="113"/>
    </row>
    <row r="3001" spans="4:10" x14ac:dyDescent="0.3">
      <c r="F3001">
        <v>2400</v>
      </c>
      <c r="G3001">
        <v>660</v>
      </c>
      <c r="H3001" s="114">
        <v>126070</v>
      </c>
      <c r="I3001" s="114">
        <v>132250</v>
      </c>
      <c r="J3001" s="113"/>
    </row>
    <row r="3002" spans="4:10" x14ac:dyDescent="0.3">
      <c r="E3002">
        <v>2700</v>
      </c>
      <c r="F3002">
        <v>2200</v>
      </c>
      <c r="G3002">
        <v>660</v>
      </c>
      <c r="H3002" s="114">
        <v>110980</v>
      </c>
      <c r="I3002" s="114">
        <v>116510</v>
      </c>
      <c r="J3002" s="113"/>
    </row>
    <row r="3003" spans="4:10" x14ac:dyDescent="0.3">
      <c r="F3003">
        <v>2400</v>
      </c>
      <c r="G3003">
        <v>660</v>
      </c>
      <c r="H3003" s="114">
        <v>129630</v>
      </c>
      <c r="I3003" s="114">
        <v>136220</v>
      </c>
      <c r="J3003" s="113"/>
    </row>
    <row r="3004" spans="4:10" x14ac:dyDescent="0.3">
      <c r="E3004">
        <v>3000</v>
      </c>
      <c r="F3004">
        <v>2200</v>
      </c>
      <c r="G3004">
        <v>660</v>
      </c>
      <c r="H3004" s="114">
        <v>114520</v>
      </c>
      <c r="I3004" s="114">
        <v>120480</v>
      </c>
      <c r="J3004" s="113"/>
    </row>
    <row r="3005" spans="4:10" x14ac:dyDescent="0.3">
      <c r="F3005">
        <v>2400</v>
      </c>
      <c r="G3005">
        <v>660</v>
      </c>
      <c r="H3005" s="114">
        <v>134940</v>
      </c>
      <c r="I3005" s="114">
        <v>142180</v>
      </c>
      <c r="J3005" s="113"/>
    </row>
    <row r="3006" spans="4:10" x14ac:dyDescent="0.3">
      <c r="D3006" t="s">
        <v>540</v>
      </c>
      <c r="E3006">
        <v>2400</v>
      </c>
      <c r="F3006">
        <v>2200</v>
      </c>
      <c r="G3006">
        <v>660</v>
      </c>
      <c r="H3006" s="114">
        <v>107420</v>
      </c>
      <c r="I3006" s="114">
        <v>112530</v>
      </c>
      <c r="J3006" s="113"/>
    </row>
    <row r="3007" spans="4:10" x14ac:dyDescent="0.3">
      <c r="F3007">
        <v>2400</v>
      </c>
      <c r="G3007">
        <v>660</v>
      </c>
      <c r="H3007" s="114">
        <v>126070</v>
      </c>
      <c r="I3007" s="114">
        <v>132250</v>
      </c>
      <c r="J3007" s="113"/>
    </row>
    <row r="3008" spans="4:10" x14ac:dyDescent="0.3">
      <c r="E3008">
        <v>2700</v>
      </c>
      <c r="F3008">
        <v>2200</v>
      </c>
      <c r="G3008">
        <v>660</v>
      </c>
      <c r="H3008" s="114">
        <v>110980</v>
      </c>
      <c r="I3008" s="114">
        <v>116510</v>
      </c>
      <c r="J3008" s="113"/>
    </row>
    <row r="3009" spans="4:10" x14ac:dyDescent="0.3">
      <c r="F3009">
        <v>2400</v>
      </c>
      <c r="G3009">
        <v>660</v>
      </c>
      <c r="H3009" s="114">
        <v>129630</v>
      </c>
      <c r="I3009" s="114">
        <v>136220</v>
      </c>
      <c r="J3009" s="113"/>
    </row>
    <row r="3010" spans="4:10" x14ac:dyDescent="0.3">
      <c r="E3010">
        <v>3000</v>
      </c>
      <c r="F3010">
        <v>2200</v>
      </c>
      <c r="G3010">
        <v>660</v>
      </c>
      <c r="H3010" s="114">
        <v>114520</v>
      </c>
      <c r="I3010" s="114">
        <v>120480</v>
      </c>
      <c r="J3010" s="113"/>
    </row>
    <row r="3011" spans="4:10" x14ac:dyDescent="0.3">
      <c r="F3011">
        <v>2400</v>
      </c>
      <c r="G3011">
        <v>660</v>
      </c>
      <c r="H3011" s="114">
        <v>134940</v>
      </c>
      <c r="I3011" s="114">
        <v>142180</v>
      </c>
      <c r="J3011" s="113"/>
    </row>
    <row r="3012" spans="4:10" x14ac:dyDescent="0.3">
      <c r="D3012" t="s">
        <v>541</v>
      </c>
      <c r="E3012">
        <v>2400</v>
      </c>
      <c r="F3012">
        <v>2200</v>
      </c>
      <c r="G3012">
        <v>660</v>
      </c>
      <c r="H3012" s="114">
        <v>91010</v>
      </c>
      <c r="I3012" s="114">
        <v>96120</v>
      </c>
      <c r="J3012" s="113"/>
    </row>
    <row r="3013" spans="4:10" x14ac:dyDescent="0.3">
      <c r="F3013">
        <v>2400</v>
      </c>
      <c r="G3013">
        <v>660</v>
      </c>
      <c r="H3013" s="114">
        <v>105670</v>
      </c>
      <c r="I3013" s="114">
        <v>111850</v>
      </c>
      <c r="J3013" s="113"/>
    </row>
    <row r="3014" spans="4:10" x14ac:dyDescent="0.3">
      <c r="E3014">
        <v>2700</v>
      </c>
      <c r="F3014">
        <v>2200</v>
      </c>
      <c r="G3014">
        <v>660</v>
      </c>
      <c r="H3014" s="114">
        <v>94570</v>
      </c>
      <c r="I3014" s="114">
        <v>100100</v>
      </c>
      <c r="J3014" s="113"/>
    </row>
    <row r="3015" spans="4:10" x14ac:dyDescent="0.3">
      <c r="F3015">
        <v>2400</v>
      </c>
      <c r="G3015">
        <v>660</v>
      </c>
      <c r="H3015" s="114">
        <v>109230</v>
      </c>
      <c r="I3015" s="114">
        <v>115820</v>
      </c>
      <c r="J3015" s="113"/>
    </row>
    <row r="3016" spans="4:10" x14ac:dyDescent="0.3">
      <c r="E3016">
        <v>3000</v>
      </c>
      <c r="F3016">
        <v>2200</v>
      </c>
      <c r="G3016">
        <v>660</v>
      </c>
      <c r="H3016" s="114">
        <v>98110</v>
      </c>
      <c r="I3016" s="114">
        <v>104070</v>
      </c>
      <c r="J3016" s="113"/>
    </row>
    <row r="3017" spans="4:10" x14ac:dyDescent="0.3">
      <c r="F3017">
        <v>2400</v>
      </c>
      <c r="G3017">
        <v>660</v>
      </c>
      <c r="H3017" s="114">
        <v>114540</v>
      </c>
      <c r="I3017" s="114">
        <v>121780</v>
      </c>
      <c r="J3017" s="113"/>
    </row>
    <row r="3018" spans="4:10" x14ac:dyDescent="0.3">
      <c r="D3018" t="s">
        <v>542</v>
      </c>
      <c r="E3018">
        <v>2400</v>
      </c>
      <c r="F3018">
        <v>2200</v>
      </c>
      <c r="G3018">
        <v>660</v>
      </c>
      <c r="H3018" s="114">
        <v>78110</v>
      </c>
      <c r="I3018" s="114">
        <v>83220</v>
      </c>
      <c r="J3018" s="113"/>
    </row>
    <row r="3019" spans="4:10" x14ac:dyDescent="0.3">
      <c r="F3019">
        <v>2400</v>
      </c>
      <c r="G3019">
        <v>660</v>
      </c>
      <c r="H3019" s="114">
        <v>89200</v>
      </c>
      <c r="I3019" s="114">
        <v>95380</v>
      </c>
      <c r="J3019" s="113"/>
    </row>
    <row r="3020" spans="4:10" x14ac:dyDescent="0.3">
      <c r="E3020">
        <v>2700</v>
      </c>
      <c r="F3020">
        <v>2200</v>
      </c>
      <c r="G3020">
        <v>660</v>
      </c>
      <c r="H3020" s="114">
        <v>81670</v>
      </c>
      <c r="I3020" s="114">
        <v>87200</v>
      </c>
      <c r="J3020" s="113"/>
    </row>
    <row r="3021" spans="4:10" x14ac:dyDescent="0.3">
      <c r="F3021">
        <v>2400</v>
      </c>
      <c r="G3021">
        <v>660</v>
      </c>
      <c r="H3021" s="114">
        <v>92760</v>
      </c>
      <c r="I3021" s="114">
        <v>99350</v>
      </c>
      <c r="J3021" s="113"/>
    </row>
    <row r="3022" spans="4:10" x14ac:dyDescent="0.3">
      <c r="E3022">
        <v>3000</v>
      </c>
      <c r="F3022">
        <v>2200</v>
      </c>
      <c r="G3022">
        <v>660</v>
      </c>
      <c r="H3022" s="114">
        <v>85210</v>
      </c>
      <c r="I3022" s="114">
        <v>91170</v>
      </c>
      <c r="J3022" s="113"/>
    </row>
    <row r="3023" spans="4:10" x14ac:dyDescent="0.3">
      <c r="F3023">
        <v>2400</v>
      </c>
      <c r="G3023">
        <v>660</v>
      </c>
      <c r="H3023" s="114">
        <v>98070</v>
      </c>
      <c r="I3023" s="114">
        <v>105310</v>
      </c>
      <c r="J3023" s="113"/>
    </row>
    <row r="3024" spans="4:10" x14ac:dyDescent="0.3">
      <c r="D3024" t="s">
        <v>543</v>
      </c>
      <c r="E3024">
        <v>2400</v>
      </c>
      <c r="F3024">
        <v>2200</v>
      </c>
      <c r="G3024">
        <v>660</v>
      </c>
      <c r="H3024" s="114">
        <v>66620</v>
      </c>
      <c r="I3024" s="114">
        <v>72690</v>
      </c>
      <c r="J3024" s="113"/>
    </row>
    <row r="3025" spans="4:10" x14ac:dyDescent="0.3">
      <c r="F3025">
        <v>2400</v>
      </c>
      <c r="G3025">
        <v>660</v>
      </c>
      <c r="H3025" s="114">
        <v>76390</v>
      </c>
      <c r="I3025" s="114">
        <v>83530</v>
      </c>
      <c r="J3025" s="113"/>
    </row>
    <row r="3026" spans="4:10" x14ac:dyDescent="0.3">
      <c r="E3026">
        <v>2700</v>
      </c>
      <c r="F3026">
        <v>2200</v>
      </c>
      <c r="G3026">
        <v>660</v>
      </c>
      <c r="H3026" s="114">
        <v>70180</v>
      </c>
      <c r="I3026" s="114">
        <v>76670</v>
      </c>
      <c r="J3026" s="113"/>
    </row>
    <row r="3027" spans="4:10" x14ac:dyDescent="0.3">
      <c r="F3027">
        <v>2400</v>
      </c>
      <c r="G3027">
        <v>660</v>
      </c>
      <c r="H3027" s="114">
        <v>79950</v>
      </c>
      <c r="I3027" s="114">
        <v>87500</v>
      </c>
      <c r="J3027" s="113"/>
    </row>
    <row r="3028" spans="4:10" x14ac:dyDescent="0.3">
      <c r="E3028">
        <v>3000</v>
      </c>
      <c r="F3028">
        <v>2200</v>
      </c>
      <c r="G3028">
        <v>660</v>
      </c>
      <c r="H3028" s="114">
        <v>73720</v>
      </c>
      <c r="I3028" s="114">
        <v>80640</v>
      </c>
      <c r="J3028" s="113"/>
    </row>
    <row r="3029" spans="4:10" x14ac:dyDescent="0.3">
      <c r="F3029">
        <v>2400</v>
      </c>
      <c r="G3029">
        <v>660</v>
      </c>
      <c r="H3029" s="114">
        <v>85260</v>
      </c>
      <c r="I3029" s="114">
        <v>93460</v>
      </c>
      <c r="J3029" s="113"/>
    </row>
    <row r="3030" spans="4:10" x14ac:dyDescent="0.3">
      <c r="D3030" t="s">
        <v>544</v>
      </c>
      <c r="E3030">
        <v>2400</v>
      </c>
      <c r="F3030">
        <v>2200</v>
      </c>
      <c r="G3030">
        <v>660</v>
      </c>
      <c r="H3030" s="114">
        <v>91010</v>
      </c>
      <c r="I3030" s="114">
        <v>96120</v>
      </c>
      <c r="J3030" s="113"/>
    </row>
    <row r="3031" spans="4:10" x14ac:dyDescent="0.3">
      <c r="F3031">
        <v>2400</v>
      </c>
      <c r="G3031">
        <v>660</v>
      </c>
      <c r="H3031" s="114">
        <v>105670</v>
      </c>
      <c r="I3031" s="114">
        <v>111850</v>
      </c>
      <c r="J3031" s="113"/>
    </row>
    <row r="3032" spans="4:10" x14ac:dyDescent="0.3">
      <c r="E3032">
        <v>2700</v>
      </c>
      <c r="F3032">
        <v>2200</v>
      </c>
      <c r="G3032">
        <v>660</v>
      </c>
      <c r="H3032" s="114">
        <v>94570</v>
      </c>
      <c r="I3032" s="114">
        <v>100100</v>
      </c>
      <c r="J3032" s="113"/>
    </row>
    <row r="3033" spans="4:10" x14ac:dyDescent="0.3">
      <c r="F3033">
        <v>2400</v>
      </c>
      <c r="G3033">
        <v>660</v>
      </c>
      <c r="H3033" s="114">
        <v>109230</v>
      </c>
      <c r="I3033" s="114">
        <v>115820</v>
      </c>
      <c r="J3033" s="113"/>
    </row>
    <row r="3034" spans="4:10" x14ac:dyDescent="0.3">
      <c r="E3034">
        <v>3000</v>
      </c>
      <c r="F3034">
        <v>2200</v>
      </c>
      <c r="G3034">
        <v>660</v>
      </c>
      <c r="H3034" s="114">
        <v>98110</v>
      </c>
      <c r="I3034" s="114">
        <v>104070</v>
      </c>
      <c r="J3034" s="113"/>
    </row>
    <row r="3035" spans="4:10" x14ac:dyDescent="0.3">
      <c r="F3035">
        <v>2400</v>
      </c>
      <c r="G3035">
        <v>660</v>
      </c>
      <c r="H3035" s="114">
        <v>114540</v>
      </c>
      <c r="I3035" s="114">
        <v>121780</v>
      </c>
      <c r="J3035" s="113"/>
    </row>
    <row r="3036" spans="4:10" x14ac:dyDescent="0.3">
      <c r="D3036" t="s">
        <v>545</v>
      </c>
      <c r="E3036">
        <v>2400</v>
      </c>
      <c r="F3036">
        <v>2200</v>
      </c>
      <c r="G3036">
        <v>660</v>
      </c>
      <c r="H3036" s="114">
        <v>91010</v>
      </c>
      <c r="I3036" s="114">
        <v>96120</v>
      </c>
      <c r="J3036" s="113"/>
    </row>
    <row r="3037" spans="4:10" x14ac:dyDescent="0.3">
      <c r="F3037">
        <v>2400</v>
      </c>
      <c r="G3037">
        <v>660</v>
      </c>
      <c r="H3037" s="114">
        <v>105670</v>
      </c>
      <c r="I3037" s="114">
        <v>111850</v>
      </c>
      <c r="J3037" s="113"/>
    </row>
    <row r="3038" spans="4:10" x14ac:dyDescent="0.3">
      <c r="E3038">
        <v>2700</v>
      </c>
      <c r="F3038">
        <v>2200</v>
      </c>
      <c r="G3038">
        <v>660</v>
      </c>
      <c r="H3038" s="114">
        <v>94570</v>
      </c>
      <c r="I3038" s="114">
        <v>100100</v>
      </c>
      <c r="J3038" s="113"/>
    </row>
    <row r="3039" spans="4:10" x14ac:dyDescent="0.3">
      <c r="F3039">
        <v>2400</v>
      </c>
      <c r="G3039">
        <v>660</v>
      </c>
      <c r="H3039" s="114">
        <v>109230</v>
      </c>
      <c r="I3039" s="114">
        <v>115820</v>
      </c>
      <c r="J3039" s="113"/>
    </row>
    <row r="3040" spans="4:10" x14ac:dyDescent="0.3">
      <c r="E3040">
        <v>3000</v>
      </c>
      <c r="F3040">
        <v>2200</v>
      </c>
      <c r="G3040">
        <v>660</v>
      </c>
      <c r="H3040" s="114">
        <v>98110</v>
      </c>
      <c r="I3040" s="114">
        <v>104070</v>
      </c>
      <c r="J3040" s="113"/>
    </row>
    <row r="3041" spans="4:10" x14ac:dyDescent="0.3">
      <c r="F3041">
        <v>2400</v>
      </c>
      <c r="G3041">
        <v>660</v>
      </c>
      <c r="H3041" s="114">
        <v>114540</v>
      </c>
      <c r="I3041" s="114">
        <v>121780</v>
      </c>
      <c r="J3041" s="113"/>
    </row>
    <row r="3042" spans="4:10" x14ac:dyDescent="0.3">
      <c r="D3042" t="s">
        <v>546</v>
      </c>
      <c r="E3042">
        <v>2400</v>
      </c>
      <c r="F3042">
        <v>2200</v>
      </c>
      <c r="G3042">
        <v>660</v>
      </c>
      <c r="H3042" s="114">
        <v>91010</v>
      </c>
      <c r="I3042" s="114">
        <v>96120</v>
      </c>
      <c r="J3042" s="113"/>
    </row>
    <row r="3043" spans="4:10" x14ac:dyDescent="0.3">
      <c r="F3043">
        <v>2400</v>
      </c>
      <c r="G3043">
        <v>660</v>
      </c>
      <c r="H3043" s="114">
        <v>105670</v>
      </c>
      <c r="I3043" s="114">
        <v>111850</v>
      </c>
      <c r="J3043" s="113"/>
    </row>
    <row r="3044" spans="4:10" x14ac:dyDescent="0.3">
      <c r="E3044">
        <v>2700</v>
      </c>
      <c r="F3044">
        <v>2200</v>
      </c>
      <c r="G3044">
        <v>660</v>
      </c>
      <c r="H3044" s="114">
        <v>94570</v>
      </c>
      <c r="I3044" s="114">
        <v>100100</v>
      </c>
      <c r="J3044" s="113"/>
    </row>
    <row r="3045" spans="4:10" x14ac:dyDescent="0.3">
      <c r="F3045">
        <v>2400</v>
      </c>
      <c r="G3045">
        <v>660</v>
      </c>
      <c r="H3045" s="114">
        <v>109230</v>
      </c>
      <c r="I3045" s="114">
        <v>115820</v>
      </c>
      <c r="J3045" s="113"/>
    </row>
    <row r="3046" spans="4:10" x14ac:dyDescent="0.3">
      <c r="E3046">
        <v>3000</v>
      </c>
      <c r="F3046">
        <v>2200</v>
      </c>
      <c r="G3046">
        <v>660</v>
      </c>
      <c r="H3046" s="114">
        <v>98110</v>
      </c>
      <c r="I3046" s="114">
        <v>104070</v>
      </c>
      <c r="J3046" s="113"/>
    </row>
    <row r="3047" spans="4:10" x14ac:dyDescent="0.3">
      <c r="F3047">
        <v>2400</v>
      </c>
      <c r="G3047">
        <v>660</v>
      </c>
      <c r="H3047" s="114">
        <v>114540</v>
      </c>
      <c r="I3047" s="114">
        <v>121780</v>
      </c>
      <c r="J3047" s="113"/>
    </row>
    <row r="3048" spans="4:10" x14ac:dyDescent="0.3">
      <c r="D3048" t="s">
        <v>547</v>
      </c>
      <c r="E3048">
        <v>2400</v>
      </c>
      <c r="F3048">
        <v>2200</v>
      </c>
      <c r="G3048">
        <v>660</v>
      </c>
      <c r="H3048" s="114">
        <v>91010</v>
      </c>
      <c r="I3048" s="114">
        <v>96120</v>
      </c>
      <c r="J3048" s="113"/>
    </row>
    <row r="3049" spans="4:10" x14ac:dyDescent="0.3">
      <c r="F3049">
        <v>2400</v>
      </c>
      <c r="G3049">
        <v>660</v>
      </c>
      <c r="H3049" s="114">
        <v>105670</v>
      </c>
      <c r="I3049" s="114">
        <v>111850</v>
      </c>
      <c r="J3049" s="113"/>
    </row>
    <row r="3050" spans="4:10" x14ac:dyDescent="0.3">
      <c r="E3050">
        <v>2700</v>
      </c>
      <c r="F3050">
        <v>2200</v>
      </c>
      <c r="G3050">
        <v>660</v>
      </c>
      <c r="H3050" s="114">
        <v>94570</v>
      </c>
      <c r="I3050" s="114">
        <v>100100</v>
      </c>
      <c r="J3050" s="113"/>
    </row>
    <row r="3051" spans="4:10" x14ac:dyDescent="0.3">
      <c r="F3051">
        <v>2400</v>
      </c>
      <c r="G3051">
        <v>660</v>
      </c>
      <c r="H3051" s="114">
        <v>109230</v>
      </c>
      <c r="I3051" s="114">
        <v>115820</v>
      </c>
      <c r="J3051" s="113"/>
    </row>
    <row r="3052" spans="4:10" x14ac:dyDescent="0.3">
      <c r="E3052">
        <v>3000</v>
      </c>
      <c r="F3052">
        <v>2200</v>
      </c>
      <c r="G3052">
        <v>660</v>
      </c>
      <c r="H3052" s="114">
        <v>98110</v>
      </c>
      <c r="I3052" s="114">
        <v>104070</v>
      </c>
      <c r="J3052" s="113"/>
    </row>
    <row r="3053" spans="4:10" x14ac:dyDescent="0.3">
      <c r="F3053">
        <v>2400</v>
      </c>
      <c r="G3053">
        <v>660</v>
      </c>
      <c r="H3053" s="114">
        <v>114540</v>
      </c>
      <c r="I3053" s="114">
        <v>121780</v>
      </c>
      <c r="J3053" s="113"/>
    </row>
    <row r="3054" spans="4:10" x14ac:dyDescent="0.3">
      <c r="D3054" t="s">
        <v>548</v>
      </c>
      <c r="E3054">
        <v>2400</v>
      </c>
      <c r="F3054">
        <v>2200</v>
      </c>
      <c r="G3054">
        <v>660</v>
      </c>
      <c r="H3054" s="114">
        <v>78110</v>
      </c>
      <c r="I3054" s="114">
        <v>83220</v>
      </c>
      <c r="J3054" s="113"/>
    </row>
    <row r="3055" spans="4:10" x14ac:dyDescent="0.3">
      <c r="F3055">
        <v>2400</v>
      </c>
      <c r="G3055">
        <v>660</v>
      </c>
      <c r="H3055" s="114">
        <v>89200</v>
      </c>
      <c r="I3055" s="114">
        <v>95380</v>
      </c>
      <c r="J3055" s="113"/>
    </row>
    <row r="3056" spans="4:10" x14ac:dyDescent="0.3">
      <c r="E3056">
        <v>2700</v>
      </c>
      <c r="F3056">
        <v>2200</v>
      </c>
      <c r="G3056">
        <v>660</v>
      </c>
      <c r="H3056" s="114">
        <v>81670</v>
      </c>
      <c r="I3056" s="114">
        <v>87200</v>
      </c>
      <c r="J3056" s="113"/>
    </row>
    <row r="3057" spans="4:10" x14ac:dyDescent="0.3">
      <c r="F3057">
        <v>2400</v>
      </c>
      <c r="G3057">
        <v>660</v>
      </c>
      <c r="H3057" s="114">
        <v>92760</v>
      </c>
      <c r="I3057" s="114">
        <v>99350</v>
      </c>
      <c r="J3057" s="113"/>
    </row>
    <row r="3058" spans="4:10" x14ac:dyDescent="0.3">
      <c r="E3058">
        <v>3000</v>
      </c>
      <c r="F3058">
        <v>2200</v>
      </c>
      <c r="G3058">
        <v>660</v>
      </c>
      <c r="H3058" s="114">
        <v>85210</v>
      </c>
      <c r="I3058" s="114">
        <v>91170</v>
      </c>
      <c r="J3058" s="113"/>
    </row>
    <row r="3059" spans="4:10" x14ac:dyDescent="0.3">
      <c r="F3059">
        <v>2400</v>
      </c>
      <c r="G3059">
        <v>660</v>
      </c>
      <c r="H3059" s="114">
        <v>98070</v>
      </c>
      <c r="I3059" s="114">
        <v>105310</v>
      </c>
      <c r="J3059" s="113"/>
    </row>
    <row r="3060" spans="4:10" x14ac:dyDescent="0.3">
      <c r="D3060" t="s">
        <v>549</v>
      </c>
      <c r="E3060">
        <v>2400</v>
      </c>
      <c r="F3060">
        <v>2200</v>
      </c>
      <c r="G3060">
        <v>660</v>
      </c>
      <c r="H3060" s="114">
        <v>94520</v>
      </c>
      <c r="I3060" s="114">
        <v>99630</v>
      </c>
      <c r="J3060" s="113"/>
    </row>
    <row r="3061" spans="4:10" x14ac:dyDescent="0.3">
      <c r="F3061">
        <v>2400</v>
      </c>
      <c r="G3061">
        <v>660</v>
      </c>
      <c r="H3061" s="114">
        <v>109600</v>
      </c>
      <c r="I3061" s="114">
        <v>115780</v>
      </c>
      <c r="J3061" s="113"/>
    </row>
    <row r="3062" spans="4:10" x14ac:dyDescent="0.3">
      <c r="E3062">
        <v>2700</v>
      </c>
      <c r="F3062">
        <v>2200</v>
      </c>
      <c r="G3062">
        <v>660</v>
      </c>
      <c r="H3062" s="114">
        <v>98080</v>
      </c>
      <c r="I3062" s="114">
        <v>103610</v>
      </c>
      <c r="J3062" s="113"/>
    </row>
    <row r="3063" spans="4:10" x14ac:dyDescent="0.3">
      <c r="F3063">
        <v>2400</v>
      </c>
      <c r="G3063">
        <v>660</v>
      </c>
      <c r="H3063" s="114">
        <v>113160</v>
      </c>
      <c r="I3063" s="114">
        <v>119750</v>
      </c>
      <c r="J3063" s="113"/>
    </row>
    <row r="3064" spans="4:10" x14ac:dyDescent="0.3">
      <c r="E3064">
        <v>3000</v>
      </c>
      <c r="F3064">
        <v>2200</v>
      </c>
      <c r="G3064">
        <v>660</v>
      </c>
      <c r="H3064" s="114">
        <v>101620</v>
      </c>
      <c r="I3064" s="114">
        <v>107580</v>
      </c>
      <c r="J3064" s="113"/>
    </row>
    <row r="3065" spans="4:10" x14ac:dyDescent="0.3">
      <c r="F3065">
        <v>2400</v>
      </c>
      <c r="G3065">
        <v>660</v>
      </c>
      <c r="H3065" s="114">
        <v>118470</v>
      </c>
      <c r="I3065" s="114">
        <v>125710</v>
      </c>
      <c r="J3065" s="113"/>
    </row>
    <row r="3066" spans="4:10" x14ac:dyDescent="0.3">
      <c r="D3066" t="s">
        <v>550</v>
      </c>
      <c r="E3066">
        <v>2400</v>
      </c>
      <c r="F3066">
        <v>2200</v>
      </c>
      <c r="G3066">
        <v>660</v>
      </c>
      <c r="H3066" s="114">
        <v>83030</v>
      </c>
      <c r="I3066" s="114">
        <v>89100</v>
      </c>
      <c r="J3066" s="113"/>
    </row>
    <row r="3067" spans="4:10" x14ac:dyDescent="0.3">
      <c r="F3067">
        <v>2400</v>
      </c>
      <c r="G3067">
        <v>660</v>
      </c>
      <c r="H3067" s="114">
        <v>96790</v>
      </c>
      <c r="I3067" s="114">
        <v>103930</v>
      </c>
      <c r="J3067" s="113"/>
    </row>
    <row r="3068" spans="4:10" x14ac:dyDescent="0.3">
      <c r="E3068">
        <v>2700</v>
      </c>
      <c r="F3068">
        <v>2200</v>
      </c>
      <c r="G3068">
        <v>660</v>
      </c>
      <c r="H3068" s="114">
        <v>86590</v>
      </c>
      <c r="I3068" s="114">
        <v>93080</v>
      </c>
      <c r="J3068" s="113"/>
    </row>
    <row r="3069" spans="4:10" x14ac:dyDescent="0.3">
      <c r="F3069">
        <v>2400</v>
      </c>
      <c r="G3069">
        <v>660</v>
      </c>
      <c r="H3069" s="114">
        <v>100350</v>
      </c>
      <c r="I3069" s="114">
        <v>107900</v>
      </c>
      <c r="J3069" s="113"/>
    </row>
    <row r="3070" spans="4:10" x14ac:dyDescent="0.3">
      <c r="E3070">
        <v>3000</v>
      </c>
      <c r="F3070">
        <v>2200</v>
      </c>
      <c r="G3070">
        <v>660</v>
      </c>
      <c r="H3070" s="114">
        <v>90130</v>
      </c>
      <c r="I3070" s="114">
        <v>97050</v>
      </c>
      <c r="J3070" s="113"/>
    </row>
    <row r="3071" spans="4:10" x14ac:dyDescent="0.3">
      <c r="F3071">
        <v>2400</v>
      </c>
      <c r="G3071">
        <v>660</v>
      </c>
      <c r="H3071" s="114">
        <v>105660</v>
      </c>
      <c r="I3071" s="114">
        <v>113860</v>
      </c>
      <c r="J3071" s="113"/>
    </row>
    <row r="3072" spans="4:10" x14ac:dyDescent="0.3">
      <c r="D3072" t="s">
        <v>551</v>
      </c>
      <c r="E3072">
        <v>2400</v>
      </c>
      <c r="F3072">
        <v>2200</v>
      </c>
      <c r="G3072">
        <v>660</v>
      </c>
      <c r="H3072" s="114">
        <v>107420</v>
      </c>
      <c r="I3072" s="114">
        <v>112530</v>
      </c>
      <c r="J3072" s="113"/>
    </row>
    <row r="3073" spans="4:10" x14ac:dyDescent="0.3">
      <c r="F3073">
        <v>2400</v>
      </c>
      <c r="G3073">
        <v>660</v>
      </c>
      <c r="H3073" s="114">
        <v>126070</v>
      </c>
      <c r="I3073" s="114">
        <v>132250</v>
      </c>
      <c r="J3073" s="113"/>
    </row>
    <row r="3074" spans="4:10" x14ac:dyDescent="0.3">
      <c r="E3074">
        <v>2700</v>
      </c>
      <c r="F3074">
        <v>2200</v>
      </c>
      <c r="G3074">
        <v>660</v>
      </c>
      <c r="H3074" s="114">
        <v>110980</v>
      </c>
      <c r="I3074" s="114">
        <v>116510</v>
      </c>
      <c r="J3074" s="113"/>
    </row>
    <row r="3075" spans="4:10" x14ac:dyDescent="0.3">
      <c r="F3075">
        <v>2400</v>
      </c>
      <c r="G3075">
        <v>660</v>
      </c>
      <c r="H3075" s="114">
        <v>129630</v>
      </c>
      <c r="I3075" s="114">
        <v>136220</v>
      </c>
      <c r="J3075" s="113"/>
    </row>
    <row r="3076" spans="4:10" x14ac:dyDescent="0.3">
      <c r="E3076">
        <v>3000</v>
      </c>
      <c r="F3076">
        <v>2200</v>
      </c>
      <c r="G3076">
        <v>660</v>
      </c>
      <c r="H3076" s="114">
        <v>114520</v>
      </c>
      <c r="I3076" s="114">
        <v>120480</v>
      </c>
      <c r="J3076" s="113"/>
    </row>
    <row r="3077" spans="4:10" x14ac:dyDescent="0.3">
      <c r="F3077">
        <v>2400</v>
      </c>
      <c r="G3077">
        <v>660</v>
      </c>
      <c r="H3077" s="114">
        <v>134940</v>
      </c>
      <c r="I3077" s="114">
        <v>142180</v>
      </c>
      <c r="J3077" s="113"/>
    </row>
    <row r="3078" spans="4:10" x14ac:dyDescent="0.3">
      <c r="D3078" t="s">
        <v>552</v>
      </c>
      <c r="E3078">
        <v>2400</v>
      </c>
      <c r="F3078">
        <v>2200</v>
      </c>
      <c r="G3078">
        <v>660</v>
      </c>
      <c r="H3078" s="114">
        <v>107420</v>
      </c>
      <c r="I3078" s="114">
        <v>112530</v>
      </c>
      <c r="J3078" s="113"/>
    </row>
    <row r="3079" spans="4:10" x14ac:dyDescent="0.3">
      <c r="F3079">
        <v>2400</v>
      </c>
      <c r="G3079">
        <v>660</v>
      </c>
      <c r="H3079" s="114">
        <v>126070</v>
      </c>
      <c r="I3079" s="114">
        <v>132250</v>
      </c>
      <c r="J3079" s="113"/>
    </row>
    <row r="3080" spans="4:10" x14ac:dyDescent="0.3">
      <c r="E3080">
        <v>2700</v>
      </c>
      <c r="F3080">
        <v>2200</v>
      </c>
      <c r="G3080">
        <v>660</v>
      </c>
      <c r="H3080" s="114">
        <v>110980</v>
      </c>
      <c r="I3080" s="114">
        <v>116510</v>
      </c>
      <c r="J3080" s="113"/>
    </row>
    <row r="3081" spans="4:10" x14ac:dyDescent="0.3">
      <c r="F3081">
        <v>2400</v>
      </c>
      <c r="G3081">
        <v>660</v>
      </c>
      <c r="H3081" s="114">
        <v>129630</v>
      </c>
      <c r="I3081" s="114">
        <v>136220</v>
      </c>
      <c r="J3081" s="113"/>
    </row>
    <row r="3082" spans="4:10" x14ac:dyDescent="0.3">
      <c r="E3082">
        <v>3000</v>
      </c>
      <c r="F3082">
        <v>2200</v>
      </c>
      <c r="G3082">
        <v>660</v>
      </c>
      <c r="H3082" s="114">
        <v>114520</v>
      </c>
      <c r="I3082" s="114">
        <v>120480</v>
      </c>
      <c r="J3082" s="113"/>
    </row>
    <row r="3083" spans="4:10" x14ac:dyDescent="0.3">
      <c r="F3083">
        <v>2400</v>
      </c>
      <c r="G3083">
        <v>660</v>
      </c>
      <c r="H3083" s="114">
        <v>134940</v>
      </c>
      <c r="I3083" s="114">
        <v>142180</v>
      </c>
      <c r="J3083" s="113"/>
    </row>
    <row r="3084" spans="4:10" x14ac:dyDescent="0.3">
      <c r="D3084" t="s">
        <v>553</v>
      </c>
      <c r="E3084">
        <v>2400</v>
      </c>
      <c r="F3084">
        <v>2200</v>
      </c>
      <c r="G3084">
        <v>660</v>
      </c>
      <c r="H3084" s="114">
        <v>94520</v>
      </c>
      <c r="I3084" s="114">
        <v>99630</v>
      </c>
      <c r="J3084" s="113"/>
    </row>
    <row r="3085" spans="4:10" x14ac:dyDescent="0.3">
      <c r="F3085">
        <v>2400</v>
      </c>
      <c r="G3085">
        <v>660</v>
      </c>
      <c r="H3085" s="114">
        <v>109600</v>
      </c>
      <c r="I3085" s="114">
        <v>115780</v>
      </c>
      <c r="J3085" s="113"/>
    </row>
    <row r="3086" spans="4:10" x14ac:dyDescent="0.3">
      <c r="E3086">
        <v>2700</v>
      </c>
      <c r="F3086">
        <v>2200</v>
      </c>
      <c r="G3086">
        <v>660</v>
      </c>
      <c r="H3086" s="114">
        <v>98080</v>
      </c>
      <c r="I3086" s="114">
        <v>103610</v>
      </c>
      <c r="J3086" s="113"/>
    </row>
    <row r="3087" spans="4:10" x14ac:dyDescent="0.3">
      <c r="F3087">
        <v>2400</v>
      </c>
      <c r="G3087">
        <v>660</v>
      </c>
      <c r="H3087" s="114">
        <v>113160</v>
      </c>
      <c r="I3087" s="114">
        <v>119750</v>
      </c>
      <c r="J3087" s="113"/>
    </row>
    <row r="3088" spans="4:10" x14ac:dyDescent="0.3">
      <c r="E3088">
        <v>3000</v>
      </c>
      <c r="F3088">
        <v>2200</v>
      </c>
      <c r="G3088">
        <v>660</v>
      </c>
      <c r="H3088" s="114">
        <v>101620</v>
      </c>
      <c r="I3088" s="114">
        <v>107580</v>
      </c>
      <c r="J3088" s="113"/>
    </row>
    <row r="3089" spans="4:10" x14ac:dyDescent="0.3">
      <c r="F3089">
        <v>2400</v>
      </c>
      <c r="G3089">
        <v>660</v>
      </c>
      <c r="H3089" s="114">
        <v>118470</v>
      </c>
      <c r="I3089" s="114">
        <v>125710</v>
      </c>
      <c r="J3089" s="113"/>
    </row>
    <row r="3090" spans="4:10" x14ac:dyDescent="0.3">
      <c r="D3090" t="s">
        <v>554</v>
      </c>
      <c r="E3090">
        <v>2400</v>
      </c>
      <c r="F3090">
        <v>2200</v>
      </c>
      <c r="G3090">
        <v>660</v>
      </c>
      <c r="H3090" s="114">
        <v>83030</v>
      </c>
      <c r="I3090" s="114">
        <v>89100</v>
      </c>
      <c r="J3090" s="113"/>
    </row>
    <row r="3091" spans="4:10" x14ac:dyDescent="0.3">
      <c r="F3091">
        <v>2400</v>
      </c>
      <c r="G3091">
        <v>660</v>
      </c>
      <c r="H3091" s="114">
        <v>96790</v>
      </c>
      <c r="I3091" s="114">
        <v>103930</v>
      </c>
      <c r="J3091" s="113"/>
    </row>
    <row r="3092" spans="4:10" x14ac:dyDescent="0.3">
      <c r="E3092">
        <v>2700</v>
      </c>
      <c r="F3092">
        <v>2200</v>
      </c>
      <c r="G3092">
        <v>660</v>
      </c>
      <c r="H3092" s="114">
        <v>86590</v>
      </c>
      <c r="I3092" s="114">
        <v>93080</v>
      </c>
      <c r="J3092" s="113"/>
    </row>
    <row r="3093" spans="4:10" x14ac:dyDescent="0.3">
      <c r="F3093">
        <v>2400</v>
      </c>
      <c r="G3093">
        <v>660</v>
      </c>
      <c r="H3093" s="114">
        <v>100350</v>
      </c>
      <c r="I3093" s="114">
        <v>107900</v>
      </c>
      <c r="J3093" s="113"/>
    </row>
    <row r="3094" spans="4:10" x14ac:dyDescent="0.3">
      <c r="E3094">
        <v>3000</v>
      </c>
      <c r="F3094">
        <v>2200</v>
      </c>
      <c r="G3094">
        <v>660</v>
      </c>
      <c r="H3094" s="114">
        <v>90130</v>
      </c>
      <c r="I3094" s="114">
        <v>97050</v>
      </c>
      <c r="J3094" s="113"/>
    </row>
    <row r="3095" spans="4:10" x14ac:dyDescent="0.3">
      <c r="F3095">
        <v>2400</v>
      </c>
      <c r="G3095">
        <v>660</v>
      </c>
      <c r="H3095" s="114">
        <v>105660</v>
      </c>
      <c r="I3095" s="114">
        <v>113860</v>
      </c>
      <c r="J3095" s="113"/>
    </row>
    <row r="3096" spans="4:10" x14ac:dyDescent="0.3">
      <c r="D3096" t="s">
        <v>555</v>
      </c>
      <c r="E3096">
        <v>2400</v>
      </c>
      <c r="F3096">
        <v>2200</v>
      </c>
      <c r="G3096">
        <v>660</v>
      </c>
      <c r="H3096" s="114">
        <v>70130</v>
      </c>
      <c r="I3096" s="114">
        <v>76200</v>
      </c>
      <c r="J3096" s="113"/>
    </row>
    <row r="3097" spans="4:10" x14ac:dyDescent="0.3">
      <c r="F3097">
        <v>2400</v>
      </c>
      <c r="G3097">
        <v>660</v>
      </c>
      <c r="H3097" s="114">
        <v>80320</v>
      </c>
      <c r="I3097" s="114">
        <v>87460</v>
      </c>
      <c r="J3097" s="113"/>
    </row>
    <row r="3098" spans="4:10" x14ac:dyDescent="0.3">
      <c r="E3098">
        <v>2700</v>
      </c>
      <c r="F3098">
        <v>2200</v>
      </c>
      <c r="G3098">
        <v>660</v>
      </c>
      <c r="H3098" s="114">
        <v>73690</v>
      </c>
      <c r="I3098" s="114">
        <v>80180</v>
      </c>
      <c r="J3098" s="113"/>
    </row>
    <row r="3099" spans="4:10" x14ac:dyDescent="0.3">
      <c r="F3099">
        <v>2400</v>
      </c>
      <c r="G3099">
        <v>660</v>
      </c>
      <c r="H3099" s="114">
        <v>83880</v>
      </c>
      <c r="I3099" s="114">
        <v>91430</v>
      </c>
      <c r="J3099" s="113"/>
    </row>
    <row r="3100" spans="4:10" x14ac:dyDescent="0.3">
      <c r="E3100">
        <v>3000</v>
      </c>
      <c r="F3100">
        <v>2200</v>
      </c>
      <c r="G3100">
        <v>660</v>
      </c>
      <c r="H3100" s="114">
        <v>77230</v>
      </c>
      <c r="I3100" s="114">
        <v>84150</v>
      </c>
      <c r="J3100" s="113"/>
    </row>
    <row r="3101" spans="4:10" x14ac:dyDescent="0.3">
      <c r="F3101">
        <v>2400</v>
      </c>
      <c r="G3101">
        <v>660</v>
      </c>
      <c r="H3101" s="114">
        <v>89190</v>
      </c>
      <c r="I3101" s="114">
        <v>97390</v>
      </c>
      <c r="J3101" s="113"/>
    </row>
    <row r="3102" spans="4:10" x14ac:dyDescent="0.3">
      <c r="D3102" t="s">
        <v>556</v>
      </c>
      <c r="E3102">
        <v>2400</v>
      </c>
      <c r="F3102">
        <v>2200</v>
      </c>
      <c r="G3102">
        <v>660</v>
      </c>
      <c r="H3102" s="114">
        <v>83030</v>
      </c>
      <c r="I3102" s="114">
        <v>89100</v>
      </c>
      <c r="J3102" s="113"/>
    </row>
    <row r="3103" spans="4:10" x14ac:dyDescent="0.3">
      <c r="F3103">
        <v>2400</v>
      </c>
      <c r="G3103">
        <v>660</v>
      </c>
      <c r="H3103" s="114">
        <v>96790</v>
      </c>
      <c r="I3103" s="114">
        <v>103930</v>
      </c>
      <c r="J3103" s="113"/>
    </row>
    <row r="3104" spans="4:10" x14ac:dyDescent="0.3">
      <c r="E3104">
        <v>2700</v>
      </c>
      <c r="F3104">
        <v>2200</v>
      </c>
      <c r="G3104">
        <v>660</v>
      </c>
      <c r="H3104" s="114">
        <v>86590</v>
      </c>
      <c r="I3104" s="114">
        <v>93080</v>
      </c>
      <c r="J3104" s="113"/>
    </row>
    <row r="3105" spans="4:10" x14ac:dyDescent="0.3">
      <c r="F3105">
        <v>2400</v>
      </c>
      <c r="G3105">
        <v>660</v>
      </c>
      <c r="H3105" s="114">
        <v>100350</v>
      </c>
      <c r="I3105" s="114">
        <v>107900</v>
      </c>
      <c r="J3105" s="113"/>
    </row>
    <row r="3106" spans="4:10" x14ac:dyDescent="0.3">
      <c r="E3106">
        <v>3000</v>
      </c>
      <c r="F3106">
        <v>2200</v>
      </c>
      <c r="G3106">
        <v>660</v>
      </c>
      <c r="H3106" s="114">
        <v>90130</v>
      </c>
      <c r="I3106" s="114">
        <v>97050</v>
      </c>
      <c r="J3106" s="113"/>
    </row>
    <row r="3107" spans="4:10" x14ac:dyDescent="0.3">
      <c r="F3107">
        <v>2400</v>
      </c>
      <c r="G3107">
        <v>660</v>
      </c>
      <c r="H3107" s="114">
        <v>105660</v>
      </c>
      <c r="I3107" s="114">
        <v>113860</v>
      </c>
      <c r="J3107" s="113"/>
    </row>
    <row r="3108" spans="4:10" x14ac:dyDescent="0.3">
      <c r="D3108" t="s">
        <v>557</v>
      </c>
      <c r="E3108">
        <v>2400</v>
      </c>
      <c r="F3108">
        <v>2200</v>
      </c>
      <c r="G3108">
        <v>660</v>
      </c>
      <c r="H3108" s="114">
        <v>66620</v>
      </c>
      <c r="I3108" s="114">
        <v>72690</v>
      </c>
      <c r="J3108" s="113"/>
    </row>
    <row r="3109" spans="4:10" x14ac:dyDescent="0.3">
      <c r="F3109">
        <v>2400</v>
      </c>
      <c r="G3109">
        <v>660</v>
      </c>
      <c r="H3109" s="114">
        <v>76390</v>
      </c>
      <c r="I3109" s="114">
        <v>83530</v>
      </c>
      <c r="J3109" s="113"/>
    </row>
    <row r="3110" spans="4:10" x14ac:dyDescent="0.3">
      <c r="E3110">
        <v>2700</v>
      </c>
      <c r="F3110">
        <v>2200</v>
      </c>
      <c r="G3110">
        <v>660</v>
      </c>
      <c r="H3110" s="114">
        <v>70180</v>
      </c>
      <c r="I3110" s="114">
        <v>76670</v>
      </c>
      <c r="J3110" s="113"/>
    </row>
    <row r="3111" spans="4:10" x14ac:dyDescent="0.3">
      <c r="F3111">
        <v>2400</v>
      </c>
      <c r="G3111">
        <v>660</v>
      </c>
      <c r="H3111" s="114">
        <v>79950</v>
      </c>
      <c r="I3111" s="114">
        <v>87500</v>
      </c>
      <c r="J3111" s="113"/>
    </row>
    <row r="3112" spans="4:10" x14ac:dyDescent="0.3">
      <c r="E3112">
        <v>3000</v>
      </c>
      <c r="F3112">
        <v>2200</v>
      </c>
      <c r="G3112">
        <v>660</v>
      </c>
      <c r="H3112" s="114">
        <v>73720</v>
      </c>
      <c r="I3112" s="114">
        <v>80640</v>
      </c>
      <c r="J3112" s="113"/>
    </row>
    <row r="3113" spans="4:10" x14ac:dyDescent="0.3">
      <c r="F3113">
        <v>2400</v>
      </c>
      <c r="G3113">
        <v>660</v>
      </c>
      <c r="H3113" s="114">
        <v>85260</v>
      </c>
      <c r="I3113" s="114">
        <v>93460</v>
      </c>
      <c r="J3113" s="113"/>
    </row>
    <row r="3114" spans="4:10" x14ac:dyDescent="0.3">
      <c r="D3114" t="s">
        <v>558</v>
      </c>
      <c r="E3114">
        <v>2400</v>
      </c>
      <c r="F3114">
        <v>2200</v>
      </c>
      <c r="G3114">
        <v>660</v>
      </c>
      <c r="H3114" s="114">
        <v>83030</v>
      </c>
      <c r="I3114" s="114">
        <v>89100</v>
      </c>
      <c r="J3114" s="113"/>
    </row>
    <row r="3115" spans="4:10" x14ac:dyDescent="0.3">
      <c r="F3115">
        <v>2400</v>
      </c>
      <c r="G3115">
        <v>660</v>
      </c>
      <c r="H3115" s="114">
        <v>96790</v>
      </c>
      <c r="I3115" s="114">
        <v>103930</v>
      </c>
      <c r="J3115" s="113"/>
    </row>
    <row r="3116" spans="4:10" x14ac:dyDescent="0.3">
      <c r="E3116">
        <v>2700</v>
      </c>
      <c r="F3116">
        <v>2200</v>
      </c>
      <c r="G3116">
        <v>660</v>
      </c>
      <c r="H3116" s="114">
        <v>86590</v>
      </c>
      <c r="I3116" s="114">
        <v>93080</v>
      </c>
      <c r="J3116" s="113"/>
    </row>
    <row r="3117" spans="4:10" x14ac:dyDescent="0.3">
      <c r="F3117">
        <v>2400</v>
      </c>
      <c r="G3117">
        <v>660</v>
      </c>
      <c r="H3117" s="114">
        <v>100350</v>
      </c>
      <c r="I3117" s="114">
        <v>107900</v>
      </c>
      <c r="J3117" s="113"/>
    </row>
    <row r="3118" spans="4:10" x14ac:dyDescent="0.3">
      <c r="E3118">
        <v>3000</v>
      </c>
      <c r="F3118">
        <v>2200</v>
      </c>
      <c r="G3118">
        <v>660</v>
      </c>
      <c r="H3118" s="114">
        <v>90130</v>
      </c>
      <c r="I3118" s="114">
        <v>97050</v>
      </c>
      <c r="J3118" s="113"/>
    </row>
    <row r="3119" spans="4:10" x14ac:dyDescent="0.3">
      <c r="F3119">
        <v>2400</v>
      </c>
      <c r="G3119">
        <v>660</v>
      </c>
      <c r="H3119" s="114">
        <v>105660</v>
      </c>
      <c r="I3119" s="114">
        <v>113860</v>
      </c>
      <c r="J3119" s="113"/>
    </row>
    <row r="3120" spans="4:10" x14ac:dyDescent="0.3">
      <c r="D3120" t="s">
        <v>559</v>
      </c>
      <c r="E3120">
        <v>2400</v>
      </c>
      <c r="F3120">
        <v>2200</v>
      </c>
      <c r="G3120">
        <v>660</v>
      </c>
      <c r="H3120" s="114">
        <v>83030</v>
      </c>
      <c r="I3120" s="114">
        <v>89100</v>
      </c>
      <c r="J3120" s="113"/>
    </row>
    <row r="3121" spans="4:10" x14ac:dyDescent="0.3">
      <c r="F3121">
        <v>2400</v>
      </c>
      <c r="G3121">
        <v>660</v>
      </c>
      <c r="H3121" s="114">
        <v>96790</v>
      </c>
      <c r="I3121" s="114">
        <v>103930</v>
      </c>
      <c r="J3121" s="113"/>
    </row>
    <row r="3122" spans="4:10" x14ac:dyDescent="0.3">
      <c r="E3122">
        <v>2700</v>
      </c>
      <c r="F3122">
        <v>2200</v>
      </c>
      <c r="G3122">
        <v>660</v>
      </c>
      <c r="H3122" s="114">
        <v>86590</v>
      </c>
      <c r="I3122" s="114">
        <v>93080</v>
      </c>
      <c r="J3122" s="113"/>
    </row>
    <row r="3123" spans="4:10" x14ac:dyDescent="0.3">
      <c r="F3123">
        <v>2400</v>
      </c>
      <c r="G3123">
        <v>660</v>
      </c>
      <c r="H3123" s="114">
        <v>100350</v>
      </c>
      <c r="I3123" s="114">
        <v>107900</v>
      </c>
      <c r="J3123" s="113"/>
    </row>
    <row r="3124" spans="4:10" x14ac:dyDescent="0.3">
      <c r="E3124">
        <v>3000</v>
      </c>
      <c r="F3124">
        <v>2200</v>
      </c>
      <c r="G3124">
        <v>660</v>
      </c>
      <c r="H3124" s="114">
        <v>90130</v>
      </c>
      <c r="I3124" s="114">
        <v>97050</v>
      </c>
      <c r="J3124" s="113"/>
    </row>
    <row r="3125" spans="4:10" x14ac:dyDescent="0.3">
      <c r="F3125">
        <v>2400</v>
      </c>
      <c r="G3125">
        <v>660</v>
      </c>
      <c r="H3125" s="114">
        <v>105660</v>
      </c>
      <c r="I3125" s="114">
        <v>113860</v>
      </c>
      <c r="J3125" s="113"/>
    </row>
    <row r="3126" spans="4:10" x14ac:dyDescent="0.3">
      <c r="D3126" t="s">
        <v>560</v>
      </c>
      <c r="E3126">
        <v>2400</v>
      </c>
      <c r="F3126">
        <v>2200</v>
      </c>
      <c r="G3126">
        <v>660</v>
      </c>
      <c r="H3126" s="114">
        <v>83030</v>
      </c>
      <c r="I3126" s="114">
        <v>89100</v>
      </c>
      <c r="J3126" s="113"/>
    </row>
    <row r="3127" spans="4:10" x14ac:dyDescent="0.3">
      <c r="F3127">
        <v>2400</v>
      </c>
      <c r="G3127">
        <v>660</v>
      </c>
      <c r="H3127" s="114">
        <v>96790</v>
      </c>
      <c r="I3127" s="114">
        <v>103930</v>
      </c>
      <c r="J3127" s="113"/>
    </row>
    <row r="3128" spans="4:10" x14ac:dyDescent="0.3">
      <c r="E3128">
        <v>2700</v>
      </c>
      <c r="F3128">
        <v>2200</v>
      </c>
      <c r="G3128">
        <v>660</v>
      </c>
      <c r="H3128" s="114">
        <v>86590</v>
      </c>
      <c r="I3128" s="114">
        <v>93080</v>
      </c>
      <c r="J3128" s="113"/>
    </row>
    <row r="3129" spans="4:10" x14ac:dyDescent="0.3">
      <c r="F3129">
        <v>2400</v>
      </c>
      <c r="G3129">
        <v>660</v>
      </c>
      <c r="H3129" s="114">
        <v>100350</v>
      </c>
      <c r="I3129" s="114">
        <v>107900</v>
      </c>
      <c r="J3129" s="113"/>
    </row>
    <row r="3130" spans="4:10" x14ac:dyDescent="0.3">
      <c r="E3130">
        <v>3000</v>
      </c>
      <c r="F3130">
        <v>2200</v>
      </c>
      <c r="G3130">
        <v>660</v>
      </c>
      <c r="H3130" s="114">
        <v>90130</v>
      </c>
      <c r="I3130" s="114">
        <v>97050</v>
      </c>
      <c r="J3130" s="113"/>
    </row>
    <row r="3131" spans="4:10" x14ac:dyDescent="0.3">
      <c r="F3131">
        <v>2400</v>
      </c>
      <c r="G3131">
        <v>660</v>
      </c>
      <c r="H3131" s="114">
        <v>105660</v>
      </c>
      <c r="I3131" s="114">
        <v>113860</v>
      </c>
      <c r="J3131" s="113"/>
    </row>
    <row r="3132" spans="4:10" x14ac:dyDescent="0.3">
      <c r="D3132" t="s">
        <v>561</v>
      </c>
      <c r="E3132">
        <v>2400</v>
      </c>
      <c r="F3132">
        <v>2200</v>
      </c>
      <c r="G3132">
        <v>660</v>
      </c>
      <c r="H3132" s="114">
        <v>83030</v>
      </c>
      <c r="I3132" s="114">
        <v>89100</v>
      </c>
      <c r="J3132" s="113"/>
    </row>
    <row r="3133" spans="4:10" x14ac:dyDescent="0.3">
      <c r="F3133">
        <v>2400</v>
      </c>
      <c r="G3133">
        <v>660</v>
      </c>
      <c r="H3133" s="114">
        <v>96790</v>
      </c>
      <c r="I3133" s="114">
        <v>103930</v>
      </c>
      <c r="J3133" s="113"/>
    </row>
    <row r="3134" spans="4:10" x14ac:dyDescent="0.3">
      <c r="E3134">
        <v>2700</v>
      </c>
      <c r="F3134">
        <v>2200</v>
      </c>
      <c r="G3134">
        <v>660</v>
      </c>
      <c r="H3134" s="114">
        <v>86590</v>
      </c>
      <c r="I3134" s="114">
        <v>93080</v>
      </c>
      <c r="J3134" s="113"/>
    </row>
    <row r="3135" spans="4:10" x14ac:dyDescent="0.3">
      <c r="F3135">
        <v>2400</v>
      </c>
      <c r="G3135">
        <v>660</v>
      </c>
      <c r="H3135" s="114">
        <v>100350</v>
      </c>
      <c r="I3135" s="114">
        <v>107900</v>
      </c>
      <c r="J3135" s="113"/>
    </row>
    <row r="3136" spans="4:10" x14ac:dyDescent="0.3">
      <c r="E3136">
        <v>3000</v>
      </c>
      <c r="F3136">
        <v>2200</v>
      </c>
      <c r="G3136">
        <v>660</v>
      </c>
      <c r="H3136" s="114">
        <v>90130</v>
      </c>
      <c r="I3136" s="114">
        <v>97050</v>
      </c>
      <c r="J3136" s="113"/>
    </row>
    <row r="3137" spans="4:10" x14ac:dyDescent="0.3">
      <c r="F3137">
        <v>2400</v>
      </c>
      <c r="G3137">
        <v>660</v>
      </c>
      <c r="H3137" s="114">
        <v>105660</v>
      </c>
      <c r="I3137" s="114">
        <v>113860</v>
      </c>
      <c r="J3137" s="113"/>
    </row>
    <row r="3138" spans="4:10" x14ac:dyDescent="0.3">
      <c r="D3138" t="s">
        <v>562</v>
      </c>
      <c r="E3138">
        <v>2400</v>
      </c>
      <c r="F3138">
        <v>2200</v>
      </c>
      <c r="G3138">
        <v>660</v>
      </c>
      <c r="H3138" s="114">
        <v>70130</v>
      </c>
      <c r="I3138" s="114">
        <v>76200</v>
      </c>
      <c r="J3138" s="113"/>
    </row>
    <row r="3139" spans="4:10" x14ac:dyDescent="0.3">
      <c r="F3139">
        <v>2400</v>
      </c>
      <c r="G3139">
        <v>660</v>
      </c>
      <c r="H3139" s="114">
        <v>80320</v>
      </c>
      <c r="I3139" s="114">
        <v>87460</v>
      </c>
      <c r="J3139" s="113"/>
    </row>
    <row r="3140" spans="4:10" x14ac:dyDescent="0.3">
      <c r="E3140">
        <v>2700</v>
      </c>
      <c r="F3140">
        <v>2200</v>
      </c>
      <c r="G3140">
        <v>660</v>
      </c>
      <c r="H3140" s="114">
        <v>73690</v>
      </c>
      <c r="I3140" s="114">
        <v>80180</v>
      </c>
      <c r="J3140" s="113"/>
    </row>
    <row r="3141" spans="4:10" x14ac:dyDescent="0.3">
      <c r="F3141">
        <v>2400</v>
      </c>
      <c r="G3141">
        <v>660</v>
      </c>
      <c r="H3141" s="114">
        <v>83880</v>
      </c>
      <c r="I3141" s="114">
        <v>91430</v>
      </c>
      <c r="J3141" s="113"/>
    </row>
    <row r="3142" spans="4:10" x14ac:dyDescent="0.3">
      <c r="E3142">
        <v>3000</v>
      </c>
      <c r="F3142">
        <v>2200</v>
      </c>
      <c r="G3142">
        <v>660</v>
      </c>
      <c r="H3142" s="114">
        <v>77230</v>
      </c>
      <c r="I3142" s="114">
        <v>84150</v>
      </c>
      <c r="J3142" s="113"/>
    </row>
    <row r="3143" spans="4:10" x14ac:dyDescent="0.3">
      <c r="F3143">
        <v>2400</v>
      </c>
      <c r="G3143">
        <v>660</v>
      </c>
      <c r="H3143" s="114">
        <v>89190</v>
      </c>
      <c r="I3143" s="114">
        <v>97390</v>
      </c>
      <c r="J3143" s="113"/>
    </row>
    <row r="3144" spans="4:10" x14ac:dyDescent="0.3">
      <c r="D3144" t="s">
        <v>563</v>
      </c>
      <c r="E3144">
        <v>2400</v>
      </c>
      <c r="F3144">
        <v>2200</v>
      </c>
      <c r="G3144">
        <v>660</v>
      </c>
      <c r="H3144" s="114">
        <v>94520</v>
      </c>
      <c r="I3144" s="114">
        <v>99630</v>
      </c>
      <c r="J3144" s="113"/>
    </row>
    <row r="3145" spans="4:10" x14ac:dyDescent="0.3">
      <c r="F3145">
        <v>2400</v>
      </c>
      <c r="G3145">
        <v>660</v>
      </c>
      <c r="H3145" s="114">
        <v>109600</v>
      </c>
      <c r="I3145" s="114">
        <v>115780</v>
      </c>
      <c r="J3145" s="113"/>
    </row>
    <row r="3146" spans="4:10" x14ac:dyDescent="0.3">
      <c r="E3146">
        <v>2700</v>
      </c>
      <c r="F3146">
        <v>2200</v>
      </c>
      <c r="G3146">
        <v>660</v>
      </c>
      <c r="H3146" s="114">
        <v>98080</v>
      </c>
      <c r="I3146" s="114">
        <v>103610</v>
      </c>
      <c r="J3146" s="113"/>
    </row>
    <row r="3147" spans="4:10" x14ac:dyDescent="0.3">
      <c r="F3147">
        <v>2400</v>
      </c>
      <c r="G3147">
        <v>660</v>
      </c>
      <c r="H3147" s="114">
        <v>113160</v>
      </c>
      <c r="I3147" s="114">
        <v>119750</v>
      </c>
      <c r="J3147" s="113"/>
    </row>
    <row r="3148" spans="4:10" x14ac:dyDescent="0.3">
      <c r="E3148">
        <v>3000</v>
      </c>
      <c r="F3148">
        <v>2200</v>
      </c>
      <c r="G3148">
        <v>660</v>
      </c>
      <c r="H3148" s="114">
        <v>101620</v>
      </c>
      <c r="I3148" s="114">
        <v>107580</v>
      </c>
      <c r="J3148" s="113"/>
    </row>
    <row r="3149" spans="4:10" x14ac:dyDescent="0.3">
      <c r="F3149">
        <v>2400</v>
      </c>
      <c r="G3149">
        <v>660</v>
      </c>
      <c r="H3149" s="114">
        <v>118470</v>
      </c>
      <c r="I3149" s="114">
        <v>125710</v>
      </c>
      <c r="J3149" s="113"/>
    </row>
    <row r="3150" spans="4:10" x14ac:dyDescent="0.3">
      <c r="D3150" t="s">
        <v>564</v>
      </c>
      <c r="E3150">
        <v>2400</v>
      </c>
      <c r="F3150">
        <v>2200</v>
      </c>
      <c r="G3150">
        <v>660</v>
      </c>
      <c r="H3150" s="114">
        <v>91010</v>
      </c>
      <c r="I3150" s="114">
        <v>96120</v>
      </c>
      <c r="J3150" s="113"/>
    </row>
    <row r="3151" spans="4:10" x14ac:dyDescent="0.3">
      <c r="F3151">
        <v>2400</v>
      </c>
      <c r="G3151">
        <v>660</v>
      </c>
      <c r="H3151" s="114">
        <v>105670</v>
      </c>
      <c r="I3151" s="114">
        <v>111850</v>
      </c>
      <c r="J3151" s="113"/>
    </row>
    <row r="3152" spans="4:10" x14ac:dyDescent="0.3">
      <c r="E3152">
        <v>2700</v>
      </c>
      <c r="F3152">
        <v>2200</v>
      </c>
      <c r="G3152">
        <v>660</v>
      </c>
      <c r="H3152" s="114">
        <v>94570</v>
      </c>
      <c r="I3152" s="114">
        <v>100100</v>
      </c>
      <c r="J3152" s="113"/>
    </row>
    <row r="3153" spans="4:10" x14ac:dyDescent="0.3">
      <c r="F3153">
        <v>2400</v>
      </c>
      <c r="G3153">
        <v>660</v>
      </c>
      <c r="H3153" s="114">
        <v>109230</v>
      </c>
      <c r="I3153" s="114">
        <v>115820</v>
      </c>
      <c r="J3153" s="113"/>
    </row>
    <row r="3154" spans="4:10" x14ac:dyDescent="0.3">
      <c r="E3154">
        <v>3000</v>
      </c>
      <c r="F3154">
        <v>2200</v>
      </c>
      <c r="G3154">
        <v>660</v>
      </c>
      <c r="H3154" s="114">
        <v>98110</v>
      </c>
      <c r="I3154" s="114">
        <v>104070</v>
      </c>
      <c r="J3154" s="113"/>
    </row>
    <row r="3155" spans="4:10" x14ac:dyDescent="0.3">
      <c r="F3155">
        <v>2400</v>
      </c>
      <c r="G3155">
        <v>660</v>
      </c>
      <c r="H3155" s="114">
        <v>114540</v>
      </c>
      <c r="I3155" s="114">
        <v>121780</v>
      </c>
      <c r="J3155" s="113"/>
    </row>
    <row r="3156" spans="4:10" x14ac:dyDescent="0.3">
      <c r="D3156" t="s">
        <v>565</v>
      </c>
      <c r="E3156">
        <v>2400</v>
      </c>
      <c r="F3156">
        <v>2200</v>
      </c>
      <c r="G3156">
        <v>660</v>
      </c>
      <c r="H3156" s="114">
        <v>83030</v>
      </c>
      <c r="I3156" s="114">
        <v>89100</v>
      </c>
      <c r="J3156" s="113"/>
    </row>
    <row r="3157" spans="4:10" x14ac:dyDescent="0.3">
      <c r="F3157">
        <v>2400</v>
      </c>
      <c r="G3157">
        <v>660</v>
      </c>
      <c r="H3157" s="114">
        <v>96790</v>
      </c>
      <c r="I3157" s="114">
        <v>103930</v>
      </c>
      <c r="J3157" s="113"/>
    </row>
    <row r="3158" spans="4:10" x14ac:dyDescent="0.3">
      <c r="E3158">
        <v>2700</v>
      </c>
      <c r="F3158">
        <v>2200</v>
      </c>
      <c r="G3158">
        <v>660</v>
      </c>
      <c r="H3158" s="114">
        <v>86590</v>
      </c>
      <c r="I3158" s="114">
        <v>93080</v>
      </c>
      <c r="J3158" s="113"/>
    </row>
    <row r="3159" spans="4:10" x14ac:dyDescent="0.3">
      <c r="F3159">
        <v>2400</v>
      </c>
      <c r="G3159">
        <v>660</v>
      </c>
      <c r="H3159" s="114">
        <v>100350</v>
      </c>
      <c r="I3159" s="114">
        <v>107900</v>
      </c>
      <c r="J3159" s="113"/>
    </row>
    <row r="3160" spans="4:10" x14ac:dyDescent="0.3">
      <c r="E3160">
        <v>3000</v>
      </c>
      <c r="F3160">
        <v>2200</v>
      </c>
      <c r="G3160">
        <v>660</v>
      </c>
      <c r="H3160" s="114">
        <v>90130</v>
      </c>
      <c r="I3160" s="114">
        <v>97050</v>
      </c>
      <c r="J3160" s="113"/>
    </row>
    <row r="3161" spans="4:10" x14ac:dyDescent="0.3">
      <c r="F3161">
        <v>2400</v>
      </c>
      <c r="G3161">
        <v>660</v>
      </c>
      <c r="H3161" s="114">
        <v>105660</v>
      </c>
      <c r="I3161" s="114">
        <v>113860</v>
      </c>
      <c r="J3161" s="113"/>
    </row>
    <row r="3162" spans="4:10" x14ac:dyDescent="0.3">
      <c r="D3162" t="s">
        <v>566</v>
      </c>
      <c r="E3162">
        <v>2400</v>
      </c>
      <c r="F3162">
        <v>2200</v>
      </c>
      <c r="G3162">
        <v>660</v>
      </c>
      <c r="H3162" s="114">
        <v>107420</v>
      </c>
      <c r="I3162" s="114">
        <v>112530</v>
      </c>
      <c r="J3162" s="113"/>
    </row>
    <row r="3163" spans="4:10" x14ac:dyDescent="0.3">
      <c r="F3163">
        <v>2400</v>
      </c>
      <c r="G3163">
        <v>660</v>
      </c>
      <c r="H3163" s="114">
        <v>126070</v>
      </c>
      <c r="I3163" s="114">
        <v>132250</v>
      </c>
      <c r="J3163" s="113"/>
    </row>
    <row r="3164" spans="4:10" x14ac:dyDescent="0.3">
      <c r="E3164">
        <v>2700</v>
      </c>
      <c r="F3164">
        <v>2200</v>
      </c>
      <c r="G3164">
        <v>660</v>
      </c>
      <c r="H3164" s="114">
        <v>110980</v>
      </c>
      <c r="I3164" s="114">
        <v>116510</v>
      </c>
      <c r="J3164" s="113"/>
    </row>
    <row r="3165" spans="4:10" x14ac:dyDescent="0.3">
      <c r="F3165">
        <v>2400</v>
      </c>
      <c r="G3165">
        <v>660</v>
      </c>
      <c r="H3165" s="114">
        <v>129630</v>
      </c>
      <c r="I3165" s="114">
        <v>136220</v>
      </c>
      <c r="J3165" s="113"/>
    </row>
    <row r="3166" spans="4:10" x14ac:dyDescent="0.3">
      <c r="E3166">
        <v>3000</v>
      </c>
      <c r="F3166">
        <v>2200</v>
      </c>
      <c r="G3166">
        <v>660</v>
      </c>
      <c r="H3166" s="114">
        <v>114520</v>
      </c>
      <c r="I3166" s="114">
        <v>120480</v>
      </c>
      <c r="J3166" s="113"/>
    </row>
    <row r="3167" spans="4:10" x14ac:dyDescent="0.3">
      <c r="F3167">
        <v>2400</v>
      </c>
      <c r="G3167">
        <v>660</v>
      </c>
      <c r="H3167" s="114">
        <v>134940</v>
      </c>
      <c r="I3167" s="114">
        <v>142180</v>
      </c>
      <c r="J3167" s="113"/>
    </row>
    <row r="3168" spans="4:10" x14ac:dyDescent="0.3">
      <c r="D3168" t="s">
        <v>567</v>
      </c>
      <c r="E3168">
        <v>2400</v>
      </c>
      <c r="F3168">
        <v>2200</v>
      </c>
      <c r="G3168">
        <v>660</v>
      </c>
      <c r="H3168" s="114">
        <v>83030</v>
      </c>
      <c r="I3168" s="114">
        <v>89100</v>
      </c>
      <c r="J3168" s="113"/>
    </row>
    <row r="3169" spans="4:10" x14ac:dyDescent="0.3">
      <c r="F3169">
        <v>2400</v>
      </c>
      <c r="G3169">
        <v>660</v>
      </c>
      <c r="H3169" s="114">
        <v>96790</v>
      </c>
      <c r="I3169" s="114">
        <v>103930</v>
      </c>
      <c r="J3169" s="113"/>
    </row>
    <row r="3170" spans="4:10" x14ac:dyDescent="0.3">
      <c r="E3170">
        <v>2700</v>
      </c>
      <c r="F3170">
        <v>2200</v>
      </c>
      <c r="G3170">
        <v>660</v>
      </c>
      <c r="H3170" s="114">
        <v>86590</v>
      </c>
      <c r="I3170" s="114">
        <v>93080</v>
      </c>
      <c r="J3170" s="113"/>
    </row>
    <row r="3171" spans="4:10" x14ac:dyDescent="0.3">
      <c r="F3171">
        <v>2400</v>
      </c>
      <c r="G3171">
        <v>660</v>
      </c>
      <c r="H3171" s="114">
        <v>100350</v>
      </c>
      <c r="I3171" s="114">
        <v>107900</v>
      </c>
      <c r="J3171" s="113"/>
    </row>
    <row r="3172" spans="4:10" x14ac:dyDescent="0.3">
      <c r="E3172">
        <v>3000</v>
      </c>
      <c r="F3172">
        <v>2200</v>
      </c>
      <c r="G3172">
        <v>660</v>
      </c>
      <c r="H3172" s="114">
        <v>90130</v>
      </c>
      <c r="I3172" s="114">
        <v>97050</v>
      </c>
      <c r="J3172" s="113"/>
    </row>
    <row r="3173" spans="4:10" x14ac:dyDescent="0.3">
      <c r="F3173">
        <v>2400</v>
      </c>
      <c r="G3173">
        <v>660</v>
      </c>
      <c r="H3173" s="114">
        <v>105660</v>
      </c>
      <c r="I3173" s="114">
        <v>113860</v>
      </c>
      <c r="J3173" s="113"/>
    </row>
    <row r="3174" spans="4:10" x14ac:dyDescent="0.3">
      <c r="D3174" t="s">
        <v>568</v>
      </c>
      <c r="E3174">
        <v>2400</v>
      </c>
      <c r="F3174">
        <v>2200</v>
      </c>
      <c r="G3174">
        <v>660</v>
      </c>
      <c r="H3174" s="114">
        <v>107420</v>
      </c>
      <c r="I3174" s="114">
        <v>112530</v>
      </c>
      <c r="J3174" s="113"/>
    </row>
    <row r="3175" spans="4:10" x14ac:dyDescent="0.3">
      <c r="F3175">
        <v>2400</v>
      </c>
      <c r="G3175">
        <v>660</v>
      </c>
      <c r="H3175" s="114">
        <v>126070</v>
      </c>
      <c r="I3175" s="114">
        <v>132250</v>
      </c>
      <c r="J3175" s="113"/>
    </row>
    <row r="3176" spans="4:10" x14ac:dyDescent="0.3">
      <c r="E3176">
        <v>2700</v>
      </c>
      <c r="F3176">
        <v>2200</v>
      </c>
      <c r="G3176">
        <v>660</v>
      </c>
      <c r="H3176" s="114">
        <v>110980</v>
      </c>
      <c r="I3176" s="114">
        <v>116510</v>
      </c>
      <c r="J3176" s="113"/>
    </row>
    <row r="3177" spans="4:10" x14ac:dyDescent="0.3">
      <c r="F3177">
        <v>2400</v>
      </c>
      <c r="G3177">
        <v>660</v>
      </c>
      <c r="H3177" s="114">
        <v>129630</v>
      </c>
      <c r="I3177" s="114">
        <v>136220</v>
      </c>
      <c r="J3177" s="113"/>
    </row>
    <row r="3178" spans="4:10" x14ac:dyDescent="0.3">
      <c r="E3178">
        <v>3000</v>
      </c>
      <c r="F3178">
        <v>2200</v>
      </c>
      <c r="G3178">
        <v>660</v>
      </c>
      <c r="H3178" s="114">
        <v>114520</v>
      </c>
      <c r="I3178" s="114">
        <v>120480</v>
      </c>
      <c r="J3178" s="113"/>
    </row>
    <row r="3179" spans="4:10" x14ac:dyDescent="0.3">
      <c r="F3179">
        <v>2400</v>
      </c>
      <c r="G3179">
        <v>660</v>
      </c>
      <c r="H3179" s="114">
        <v>134940</v>
      </c>
      <c r="I3179" s="114">
        <v>142180</v>
      </c>
      <c r="J3179" s="113"/>
    </row>
    <row r="3180" spans="4:10" x14ac:dyDescent="0.3">
      <c r="D3180" t="s">
        <v>569</v>
      </c>
      <c r="E3180">
        <v>2400</v>
      </c>
      <c r="F3180">
        <v>2200</v>
      </c>
      <c r="G3180">
        <v>660</v>
      </c>
      <c r="H3180" s="114">
        <v>83030</v>
      </c>
      <c r="I3180" s="114">
        <v>89100</v>
      </c>
      <c r="J3180" s="113"/>
    </row>
    <row r="3181" spans="4:10" x14ac:dyDescent="0.3">
      <c r="F3181">
        <v>2400</v>
      </c>
      <c r="G3181">
        <v>660</v>
      </c>
      <c r="H3181" s="114">
        <v>96790</v>
      </c>
      <c r="I3181" s="114">
        <v>103930</v>
      </c>
      <c r="J3181" s="113"/>
    </row>
    <row r="3182" spans="4:10" x14ac:dyDescent="0.3">
      <c r="E3182">
        <v>2700</v>
      </c>
      <c r="F3182">
        <v>2200</v>
      </c>
      <c r="G3182">
        <v>660</v>
      </c>
      <c r="H3182" s="114">
        <v>86590</v>
      </c>
      <c r="I3182" s="114">
        <v>93080</v>
      </c>
      <c r="J3182" s="113"/>
    </row>
    <row r="3183" spans="4:10" x14ac:dyDescent="0.3">
      <c r="F3183">
        <v>2400</v>
      </c>
      <c r="G3183">
        <v>660</v>
      </c>
      <c r="H3183" s="114">
        <v>100350</v>
      </c>
      <c r="I3183" s="114">
        <v>107900</v>
      </c>
      <c r="J3183" s="113"/>
    </row>
    <row r="3184" spans="4:10" x14ac:dyDescent="0.3">
      <c r="E3184">
        <v>3000</v>
      </c>
      <c r="F3184">
        <v>2200</v>
      </c>
      <c r="G3184">
        <v>660</v>
      </c>
      <c r="H3184" s="114">
        <v>90130</v>
      </c>
      <c r="I3184" s="114">
        <v>97050</v>
      </c>
      <c r="J3184" s="113"/>
    </row>
    <row r="3185" spans="4:10" x14ac:dyDescent="0.3">
      <c r="F3185">
        <v>2400</v>
      </c>
      <c r="G3185">
        <v>660</v>
      </c>
      <c r="H3185" s="114">
        <v>105660</v>
      </c>
      <c r="I3185" s="114">
        <v>113860</v>
      </c>
      <c r="J3185" s="113"/>
    </row>
    <row r="3186" spans="4:10" x14ac:dyDescent="0.3">
      <c r="D3186" t="s">
        <v>570</v>
      </c>
      <c r="E3186">
        <v>2400</v>
      </c>
      <c r="F3186">
        <v>2200</v>
      </c>
      <c r="G3186">
        <v>660</v>
      </c>
      <c r="H3186" s="114">
        <v>107420</v>
      </c>
      <c r="I3186" s="114">
        <v>112530</v>
      </c>
      <c r="J3186" s="113"/>
    </row>
    <row r="3187" spans="4:10" x14ac:dyDescent="0.3">
      <c r="F3187">
        <v>2400</v>
      </c>
      <c r="G3187">
        <v>660</v>
      </c>
      <c r="H3187" s="114">
        <v>126070</v>
      </c>
      <c r="I3187" s="114">
        <v>132250</v>
      </c>
      <c r="J3187" s="113"/>
    </row>
    <row r="3188" spans="4:10" x14ac:dyDescent="0.3">
      <c r="E3188">
        <v>2700</v>
      </c>
      <c r="F3188">
        <v>2200</v>
      </c>
      <c r="G3188">
        <v>660</v>
      </c>
      <c r="H3188" s="114">
        <v>110980</v>
      </c>
      <c r="I3188" s="114">
        <v>116510</v>
      </c>
      <c r="J3188" s="113"/>
    </row>
    <row r="3189" spans="4:10" x14ac:dyDescent="0.3">
      <c r="F3189">
        <v>2400</v>
      </c>
      <c r="G3189">
        <v>660</v>
      </c>
      <c r="H3189" s="114">
        <v>129630</v>
      </c>
      <c r="I3189" s="114">
        <v>136220</v>
      </c>
      <c r="J3189" s="113"/>
    </row>
    <row r="3190" spans="4:10" x14ac:dyDescent="0.3">
      <c r="E3190">
        <v>3000</v>
      </c>
      <c r="F3190">
        <v>2200</v>
      </c>
      <c r="G3190">
        <v>660</v>
      </c>
      <c r="H3190" s="114">
        <v>114520</v>
      </c>
      <c r="I3190" s="114">
        <v>120480</v>
      </c>
      <c r="J3190" s="113"/>
    </row>
    <row r="3191" spans="4:10" x14ac:dyDescent="0.3">
      <c r="F3191">
        <v>2400</v>
      </c>
      <c r="G3191">
        <v>660</v>
      </c>
      <c r="H3191" s="114">
        <v>134940</v>
      </c>
      <c r="I3191" s="114">
        <v>142180</v>
      </c>
      <c r="J3191" s="113"/>
    </row>
    <row r="3192" spans="4:10" x14ac:dyDescent="0.3">
      <c r="D3192" t="s">
        <v>571</v>
      </c>
      <c r="E3192">
        <v>2400</v>
      </c>
      <c r="F3192">
        <v>2200</v>
      </c>
      <c r="G3192">
        <v>660</v>
      </c>
      <c r="H3192" s="114">
        <v>94520</v>
      </c>
      <c r="I3192" s="114">
        <v>99630</v>
      </c>
      <c r="J3192" s="113"/>
    </row>
    <row r="3193" spans="4:10" x14ac:dyDescent="0.3">
      <c r="F3193">
        <v>2400</v>
      </c>
      <c r="G3193">
        <v>660</v>
      </c>
      <c r="H3193" s="114">
        <v>109600</v>
      </c>
      <c r="I3193" s="114">
        <v>115780</v>
      </c>
      <c r="J3193" s="113"/>
    </row>
    <row r="3194" spans="4:10" x14ac:dyDescent="0.3">
      <c r="E3194">
        <v>2700</v>
      </c>
      <c r="F3194">
        <v>2200</v>
      </c>
      <c r="G3194">
        <v>660</v>
      </c>
      <c r="H3194" s="114">
        <v>98080</v>
      </c>
      <c r="I3194" s="114">
        <v>103610</v>
      </c>
      <c r="J3194" s="113"/>
    </row>
    <row r="3195" spans="4:10" x14ac:dyDescent="0.3">
      <c r="F3195">
        <v>2400</v>
      </c>
      <c r="G3195">
        <v>660</v>
      </c>
      <c r="H3195" s="114">
        <v>113160</v>
      </c>
      <c r="I3195" s="114">
        <v>119750</v>
      </c>
      <c r="J3195" s="113"/>
    </row>
    <row r="3196" spans="4:10" x14ac:dyDescent="0.3">
      <c r="E3196">
        <v>3000</v>
      </c>
      <c r="F3196">
        <v>2200</v>
      </c>
      <c r="G3196">
        <v>660</v>
      </c>
      <c r="H3196" s="114">
        <v>101620</v>
      </c>
      <c r="I3196" s="114">
        <v>107580</v>
      </c>
      <c r="J3196" s="113"/>
    </row>
    <row r="3197" spans="4:10" x14ac:dyDescent="0.3">
      <c r="F3197">
        <v>2400</v>
      </c>
      <c r="G3197">
        <v>660</v>
      </c>
      <c r="H3197" s="114">
        <v>118470</v>
      </c>
      <c r="I3197" s="114">
        <v>125710</v>
      </c>
      <c r="J3197" s="113"/>
    </row>
    <row r="3198" spans="4:10" x14ac:dyDescent="0.3">
      <c r="D3198" t="s">
        <v>572</v>
      </c>
      <c r="E3198">
        <v>2400</v>
      </c>
      <c r="F3198">
        <v>2200</v>
      </c>
      <c r="G3198">
        <v>660</v>
      </c>
      <c r="H3198" s="114">
        <v>94520</v>
      </c>
      <c r="I3198" s="114">
        <v>99630</v>
      </c>
      <c r="J3198" s="113"/>
    </row>
    <row r="3199" spans="4:10" x14ac:dyDescent="0.3">
      <c r="F3199">
        <v>2400</v>
      </c>
      <c r="G3199">
        <v>660</v>
      </c>
      <c r="H3199" s="114">
        <v>109600</v>
      </c>
      <c r="I3199" s="114">
        <v>115780</v>
      </c>
      <c r="J3199" s="113"/>
    </row>
    <row r="3200" spans="4:10" x14ac:dyDescent="0.3">
      <c r="E3200">
        <v>2700</v>
      </c>
      <c r="F3200">
        <v>2200</v>
      </c>
      <c r="G3200">
        <v>660</v>
      </c>
      <c r="H3200" s="114">
        <v>98080</v>
      </c>
      <c r="I3200" s="114">
        <v>103610</v>
      </c>
      <c r="J3200" s="113"/>
    </row>
    <row r="3201" spans="4:10" x14ac:dyDescent="0.3">
      <c r="F3201">
        <v>2400</v>
      </c>
      <c r="G3201">
        <v>660</v>
      </c>
      <c r="H3201" s="114">
        <v>113160</v>
      </c>
      <c r="I3201" s="114">
        <v>119750</v>
      </c>
      <c r="J3201" s="113"/>
    </row>
    <row r="3202" spans="4:10" x14ac:dyDescent="0.3">
      <c r="E3202">
        <v>3000</v>
      </c>
      <c r="F3202">
        <v>2200</v>
      </c>
      <c r="G3202">
        <v>660</v>
      </c>
      <c r="H3202" s="114">
        <v>101620</v>
      </c>
      <c r="I3202" s="114">
        <v>107580</v>
      </c>
      <c r="J3202" s="113"/>
    </row>
    <row r="3203" spans="4:10" x14ac:dyDescent="0.3">
      <c r="F3203">
        <v>2400</v>
      </c>
      <c r="G3203">
        <v>660</v>
      </c>
      <c r="H3203" s="114">
        <v>118470</v>
      </c>
      <c r="I3203" s="114">
        <v>125710</v>
      </c>
      <c r="J3203" s="113"/>
    </row>
    <row r="3204" spans="4:10" x14ac:dyDescent="0.3">
      <c r="D3204" t="s">
        <v>573</v>
      </c>
      <c r="E3204">
        <v>2400</v>
      </c>
      <c r="F3204">
        <v>2200</v>
      </c>
      <c r="G3204">
        <v>660</v>
      </c>
      <c r="H3204" s="114">
        <v>78110</v>
      </c>
      <c r="I3204" s="114">
        <v>83220</v>
      </c>
      <c r="J3204" s="113"/>
    </row>
    <row r="3205" spans="4:10" x14ac:dyDescent="0.3">
      <c r="F3205">
        <v>2400</v>
      </c>
      <c r="G3205">
        <v>660</v>
      </c>
      <c r="H3205" s="114">
        <v>89200</v>
      </c>
      <c r="I3205" s="114">
        <v>95380</v>
      </c>
      <c r="J3205" s="113"/>
    </row>
    <row r="3206" spans="4:10" x14ac:dyDescent="0.3">
      <c r="E3206">
        <v>2700</v>
      </c>
      <c r="F3206">
        <v>2200</v>
      </c>
      <c r="G3206">
        <v>660</v>
      </c>
      <c r="H3206" s="114">
        <v>81670</v>
      </c>
      <c r="I3206" s="114">
        <v>87200</v>
      </c>
      <c r="J3206" s="113"/>
    </row>
    <row r="3207" spans="4:10" x14ac:dyDescent="0.3">
      <c r="F3207">
        <v>2400</v>
      </c>
      <c r="G3207">
        <v>660</v>
      </c>
      <c r="H3207" s="114">
        <v>92760</v>
      </c>
      <c r="I3207" s="114">
        <v>99350</v>
      </c>
      <c r="J3207" s="113"/>
    </row>
    <row r="3208" spans="4:10" x14ac:dyDescent="0.3">
      <c r="E3208">
        <v>3000</v>
      </c>
      <c r="F3208">
        <v>2200</v>
      </c>
      <c r="G3208">
        <v>660</v>
      </c>
      <c r="H3208" s="114">
        <v>85210</v>
      </c>
      <c r="I3208" s="114">
        <v>91170</v>
      </c>
      <c r="J3208" s="113"/>
    </row>
    <row r="3209" spans="4:10" x14ac:dyDescent="0.3">
      <c r="F3209">
        <v>2400</v>
      </c>
      <c r="G3209">
        <v>660</v>
      </c>
      <c r="H3209" s="114">
        <v>98070</v>
      </c>
      <c r="I3209" s="114">
        <v>105310</v>
      </c>
      <c r="J3209" s="113"/>
    </row>
    <row r="3210" spans="4:10" x14ac:dyDescent="0.3">
      <c r="D3210" t="s">
        <v>574</v>
      </c>
      <c r="E3210">
        <v>2400</v>
      </c>
      <c r="F3210">
        <v>2200</v>
      </c>
      <c r="G3210">
        <v>660</v>
      </c>
      <c r="H3210" s="114">
        <v>70130</v>
      </c>
      <c r="I3210" s="114">
        <v>76200</v>
      </c>
      <c r="J3210" s="113"/>
    </row>
    <row r="3211" spans="4:10" x14ac:dyDescent="0.3">
      <c r="F3211">
        <v>2400</v>
      </c>
      <c r="G3211">
        <v>660</v>
      </c>
      <c r="H3211" s="114">
        <v>80320</v>
      </c>
      <c r="I3211" s="114">
        <v>87460</v>
      </c>
      <c r="J3211" s="113"/>
    </row>
    <row r="3212" spans="4:10" x14ac:dyDescent="0.3">
      <c r="E3212">
        <v>2700</v>
      </c>
      <c r="F3212">
        <v>2200</v>
      </c>
      <c r="G3212">
        <v>660</v>
      </c>
      <c r="H3212" s="114">
        <v>73690</v>
      </c>
      <c r="I3212" s="114">
        <v>80180</v>
      </c>
      <c r="J3212" s="113"/>
    </row>
    <row r="3213" spans="4:10" x14ac:dyDescent="0.3">
      <c r="F3213">
        <v>2400</v>
      </c>
      <c r="G3213">
        <v>660</v>
      </c>
      <c r="H3213" s="114">
        <v>83880</v>
      </c>
      <c r="I3213" s="114">
        <v>91430</v>
      </c>
      <c r="J3213" s="113"/>
    </row>
    <row r="3214" spans="4:10" x14ac:dyDescent="0.3">
      <c r="E3214">
        <v>3000</v>
      </c>
      <c r="F3214">
        <v>2200</v>
      </c>
      <c r="G3214">
        <v>660</v>
      </c>
      <c r="H3214" s="114">
        <v>77230</v>
      </c>
      <c r="I3214" s="114">
        <v>84150</v>
      </c>
      <c r="J3214" s="113"/>
    </row>
    <row r="3215" spans="4:10" x14ac:dyDescent="0.3">
      <c r="F3215">
        <v>2400</v>
      </c>
      <c r="G3215">
        <v>660</v>
      </c>
      <c r="H3215" s="114">
        <v>89190</v>
      </c>
      <c r="I3215" s="114">
        <v>97390</v>
      </c>
      <c r="J3215" s="113"/>
    </row>
    <row r="3216" spans="4:10" x14ac:dyDescent="0.3">
      <c r="D3216" t="s">
        <v>575</v>
      </c>
      <c r="E3216">
        <v>2400</v>
      </c>
      <c r="F3216">
        <v>2200</v>
      </c>
      <c r="G3216">
        <v>660</v>
      </c>
      <c r="H3216" s="114">
        <v>94520</v>
      </c>
      <c r="I3216" s="114">
        <v>99630</v>
      </c>
      <c r="J3216" s="113"/>
    </row>
    <row r="3217" spans="4:10" x14ac:dyDescent="0.3">
      <c r="F3217">
        <v>2400</v>
      </c>
      <c r="G3217">
        <v>660</v>
      </c>
      <c r="H3217" s="114">
        <v>109600</v>
      </c>
      <c r="I3217" s="114">
        <v>115780</v>
      </c>
      <c r="J3217" s="113"/>
    </row>
    <row r="3218" spans="4:10" x14ac:dyDescent="0.3">
      <c r="E3218">
        <v>2700</v>
      </c>
      <c r="F3218">
        <v>2200</v>
      </c>
      <c r="G3218">
        <v>660</v>
      </c>
      <c r="H3218" s="114">
        <v>98080</v>
      </c>
      <c r="I3218" s="114">
        <v>103610</v>
      </c>
      <c r="J3218" s="113"/>
    </row>
    <row r="3219" spans="4:10" x14ac:dyDescent="0.3">
      <c r="F3219">
        <v>2400</v>
      </c>
      <c r="G3219">
        <v>660</v>
      </c>
      <c r="H3219" s="114">
        <v>113160</v>
      </c>
      <c r="I3219" s="114">
        <v>119750</v>
      </c>
      <c r="J3219" s="113"/>
    </row>
    <row r="3220" spans="4:10" x14ac:dyDescent="0.3">
      <c r="E3220">
        <v>3000</v>
      </c>
      <c r="F3220">
        <v>2200</v>
      </c>
      <c r="G3220">
        <v>660</v>
      </c>
      <c r="H3220" s="114">
        <v>101620</v>
      </c>
      <c r="I3220" s="114">
        <v>107580</v>
      </c>
      <c r="J3220" s="113"/>
    </row>
    <row r="3221" spans="4:10" x14ac:dyDescent="0.3">
      <c r="F3221">
        <v>2400</v>
      </c>
      <c r="G3221">
        <v>660</v>
      </c>
      <c r="H3221" s="114">
        <v>118470</v>
      </c>
      <c r="I3221" s="114">
        <v>125710</v>
      </c>
      <c r="J3221" s="113"/>
    </row>
    <row r="3222" spans="4:10" x14ac:dyDescent="0.3">
      <c r="D3222" t="s">
        <v>576</v>
      </c>
      <c r="E3222">
        <v>2400</v>
      </c>
      <c r="F3222">
        <v>2200</v>
      </c>
      <c r="G3222">
        <v>660</v>
      </c>
      <c r="H3222" s="114">
        <v>94520</v>
      </c>
      <c r="I3222" s="114">
        <v>99630</v>
      </c>
      <c r="J3222" s="113"/>
    </row>
    <row r="3223" spans="4:10" x14ac:dyDescent="0.3">
      <c r="F3223">
        <v>2400</v>
      </c>
      <c r="G3223">
        <v>660</v>
      </c>
      <c r="H3223" s="114">
        <v>109600</v>
      </c>
      <c r="I3223" s="114">
        <v>115780</v>
      </c>
      <c r="J3223" s="113"/>
    </row>
    <row r="3224" spans="4:10" x14ac:dyDescent="0.3">
      <c r="E3224">
        <v>2700</v>
      </c>
      <c r="F3224">
        <v>2200</v>
      </c>
      <c r="G3224">
        <v>660</v>
      </c>
      <c r="H3224" s="114">
        <v>98080</v>
      </c>
      <c r="I3224" s="114">
        <v>103610</v>
      </c>
      <c r="J3224" s="113"/>
    </row>
    <row r="3225" spans="4:10" x14ac:dyDescent="0.3">
      <c r="F3225">
        <v>2400</v>
      </c>
      <c r="G3225">
        <v>660</v>
      </c>
      <c r="H3225" s="114">
        <v>113160</v>
      </c>
      <c r="I3225" s="114">
        <v>119750</v>
      </c>
      <c r="J3225" s="113"/>
    </row>
    <row r="3226" spans="4:10" x14ac:dyDescent="0.3">
      <c r="E3226">
        <v>3000</v>
      </c>
      <c r="F3226">
        <v>2200</v>
      </c>
      <c r="G3226">
        <v>660</v>
      </c>
      <c r="H3226" s="114">
        <v>101620</v>
      </c>
      <c r="I3226" s="114">
        <v>107580</v>
      </c>
      <c r="J3226" s="113"/>
    </row>
    <row r="3227" spans="4:10" x14ac:dyDescent="0.3">
      <c r="F3227">
        <v>2400</v>
      </c>
      <c r="G3227">
        <v>660</v>
      </c>
      <c r="H3227" s="114">
        <v>118470</v>
      </c>
      <c r="I3227" s="114">
        <v>125710</v>
      </c>
      <c r="J3227" s="113"/>
    </row>
    <row r="3228" spans="4:10" x14ac:dyDescent="0.3">
      <c r="D3228" t="s">
        <v>577</v>
      </c>
      <c r="E3228">
        <v>2400</v>
      </c>
      <c r="F3228">
        <v>2200</v>
      </c>
      <c r="G3228">
        <v>660</v>
      </c>
      <c r="H3228" s="114">
        <v>94520</v>
      </c>
      <c r="I3228" s="114">
        <v>99630</v>
      </c>
      <c r="J3228" s="113"/>
    </row>
    <row r="3229" spans="4:10" x14ac:dyDescent="0.3">
      <c r="F3229">
        <v>2400</v>
      </c>
      <c r="G3229">
        <v>660</v>
      </c>
      <c r="H3229" s="114">
        <v>109600</v>
      </c>
      <c r="I3229" s="114">
        <v>115780</v>
      </c>
      <c r="J3229" s="113"/>
    </row>
    <row r="3230" spans="4:10" x14ac:dyDescent="0.3">
      <c r="E3230">
        <v>2700</v>
      </c>
      <c r="F3230">
        <v>2200</v>
      </c>
      <c r="G3230">
        <v>660</v>
      </c>
      <c r="H3230" s="114">
        <v>98080</v>
      </c>
      <c r="I3230" s="114">
        <v>103610</v>
      </c>
      <c r="J3230" s="113"/>
    </row>
    <row r="3231" spans="4:10" x14ac:dyDescent="0.3">
      <c r="F3231">
        <v>2400</v>
      </c>
      <c r="G3231">
        <v>660</v>
      </c>
      <c r="H3231" s="114">
        <v>113160</v>
      </c>
      <c r="I3231" s="114">
        <v>119750</v>
      </c>
      <c r="J3231" s="113"/>
    </row>
    <row r="3232" spans="4:10" x14ac:dyDescent="0.3">
      <c r="E3232">
        <v>3000</v>
      </c>
      <c r="F3232">
        <v>2200</v>
      </c>
      <c r="G3232">
        <v>660</v>
      </c>
      <c r="H3232" s="114">
        <v>101620</v>
      </c>
      <c r="I3232" s="114">
        <v>107580</v>
      </c>
      <c r="J3232" s="113"/>
    </row>
    <row r="3233" spans="4:10" x14ac:dyDescent="0.3">
      <c r="F3233">
        <v>2400</v>
      </c>
      <c r="G3233">
        <v>660</v>
      </c>
      <c r="H3233" s="114">
        <v>118470</v>
      </c>
      <c r="I3233" s="114">
        <v>125710</v>
      </c>
      <c r="J3233" s="113"/>
    </row>
    <row r="3234" spans="4:10" x14ac:dyDescent="0.3">
      <c r="D3234" t="s">
        <v>578</v>
      </c>
      <c r="E3234">
        <v>2400</v>
      </c>
      <c r="F3234">
        <v>2200</v>
      </c>
      <c r="G3234">
        <v>660</v>
      </c>
      <c r="H3234" s="114">
        <v>91010</v>
      </c>
      <c r="I3234" s="114">
        <v>96120</v>
      </c>
      <c r="J3234" s="113"/>
    </row>
    <row r="3235" spans="4:10" x14ac:dyDescent="0.3">
      <c r="F3235">
        <v>2400</v>
      </c>
      <c r="G3235">
        <v>660</v>
      </c>
      <c r="H3235" s="114">
        <v>105670</v>
      </c>
      <c r="I3235" s="114">
        <v>111850</v>
      </c>
      <c r="J3235" s="113"/>
    </row>
    <row r="3236" spans="4:10" x14ac:dyDescent="0.3">
      <c r="E3236">
        <v>2700</v>
      </c>
      <c r="F3236">
        <v>2200</v>
      </c>
      <c r="G3236">
        <v>660</v>
      </c>
      <c r="H3236" s="114">
        <v>94570</v>
      </c>
      <c r="I3236" s="114">
        <v>100100</v>
      </c>
      <c r="J3236" s="113"/>
    </row>
    <row r="3237" spans="4:10" x14ac:dyDescent="0.3">
      <c r="F3237">
        <v>2400</v>
      </c>
      <c r="G3237">
        <v>660</v>
      </c>
      <c r="H3237" s="114">
        <v>109230</v>
      </c>
      <c r="I3237" s="114">
        <v>115820</v>
      </c>
      <c r="J3237" s="113"/>
    </row>
    <row r="3238" spans="4:10" x14ac:dyDescent="0.3">
      <c r="E3238">
        <v>3000</v>
      </c>
      <c r="F3238">
        <v>2200</v>
      </c>
      <c r="G3238">
        <v>660</v>
      </c>
      <c r="H3238" s="114">
        <v>98110</v>
      </c>
      <c r="I3238" s="114">
        <v>104070</v>
      </c>
      <c r="J3238" s="113"/>
    </row>
    <row r="3239" spans="4:10" x14ac:dyDescent="0.3">
      <c r="F3239">
        <v>2400</v>
      </c>
      <c r="G3239">
        <v>660</v>
      </c>
      <c r="H3239" s="114">
        <v>114540</v>
      </c>
      <c r="I3239" s="114">
        <v>121780</v>
      </c>
      <c r="J3239" s="113"/>
    </row>
    <row r="3240" spans="4:10" x14ac:dyDescent="0.3">
      <c r="D3240" t="s">
        <v>579</v>
      </c>
      <c r="E3240">
        <v>2400</v>
      </c>
      <c r="F3240">
        <v>2200</v>
      </c>
      <c r="G3240">
        <v>660</v>
      </c>
      <c r="H3240" s="114">
        <v>83030</v>
      </c>
      <c r="I3240" s="114">
        <v>89100</v>
      </c>
      <c r="J3240" s="113"/>
    </row>
    <row r="3241" spans="4:10" x14ac:dyDescent="0.3">
      <c r="F3241">
        <v>2400</v>
      </c>
      <c r="G3241">
        <v>660</v>
      </c>
      <c r="H3241" s="114">
        <v>96790</v>
      </c>
      <c r="I3241" s="114">
        <v>103930</v>
      </c>
      <c r="J3241" s="113"/>
    </row>
    <row r="3242" spans="4:10" x14ac:dyDescent="0.3">
      <c r="E3242">
        <v>2700</v>
      </c>
      <c r="F3242">
        <v>2200</v>
      </c>
      <c r="G3242">
        <v>660</v>
      </c>
      <c r="H3242" s="114">
        <v>86590</v>
      </c>
      <c r="I3242" s="114">
        <v>93080</v>
      </c>
      <c r="J3242" s="112"/>
    </row>
    <row r="3243" spans="4:10" x14ac:dyDescent="0.3">
      <c r="F3243">
        <v>2400</v>
      </c>
      <c r="G3243">
        <v>660</v>
      </c>
      <c r="H3243" s="114">
        <v>100350</v>
      </c>
      <c r="I3243" s="114">
        <v>107900</v>
      </c>
      <c r="J3243" s="112"/>
    </row>
    <row r="3244" spans="4:10" x14ac:dyDescent="0.3">
      <c r="E3244">
        <v>3000</v>
      </c>
      <c r="F3244">
        <v>2200</v>
      </c>
      <c r="G3244">
        <v>660</v>
      </c>
      <c r="H3244" s="114">
        <v>90130</v>
      </c>
      <c r="I3244" s="114">
        <v>97050</v>
      </c>
      <c r="J3244" s="112"/>
    </row>
    <row r="3245" spans="4:10" x14ac:dyDescent="0.3">
      <c r="F3245">
        <v>2400</v>
      </c>
      <c r="G3245">
        <v>660</v>
      </c>
      <c r="H3245" s="114">
        <v>105660</v>
      </c>
      <c r="I3245" s="114">
        <v>113860</v>
      </c>
      <c r="J3245" s="112"/>
    </row>
    <row r="3246" spans="4:10" x14ac:dyDescent="0.3">
      <c r="D3246" t="s">
        <v>580</v>
      </c>
      <c r="E3246">
        <v>2400</v>
      </c>
      <c r="F3246">
        <v>2200</v>
      </c>
      <c r="G3246">
        <v>660</v>
      </c>
      <c r="H3246" s="114">
        <v>107420</v>
      </c>
      <c r="I3246" s="114">
        <v>112530</v>
      </c>
      <c r="J3246" s="112"/>
    </row>
    <row r="3247" spans="4:10" x14ac:dyDescent="0.3">
      <c r="F3247">
        <v>2400</v>
      </c>
      <c r="G3247">
        <v>660</v>
      </c>
      <c r="H3247" s="114">
        <v>126070</v>
      </c>
      <c r="I3247" s="114">
        <v>132250</v>
      </c>
      <c r="J3247" s="112"/>
    </row>
    <row r="3248" spans="4:10" x14ac:dyDescent="0.3">
      <c r="E3248">
        <v>2700</v>
      </c>
      <c r="F3248">
        <v>2200</v>
      </c>
      <c r="G3248">
        <v>660</v>
      </c>
      <c r="H3248" s="114">
        <v>110980</v>
      </c>
      <c r="I3248" s="114">
        <v>116510</v>
      </c>
      <c r="J3248" s="112"/>
    </row>
    <row r="3249" spans="4:9" ht="14.4" customHeight="1" x14ac:dyDescent="0.3">
      <c r="F3249">
        <v>2400</v>
      </c>
      <c r="G3249">
        <v>660</v>
      </c>
      <c r="H3249" s="114">
        <v>129630</v>
      </c>
      <c r="I3249" s="114">
        <v>136220</v>
      </c>
    </row>
    <row r="3250" spans="4:9" ht="14.4" customHeight="1" x14ac:dyDescent="0.3">
      <c r="E3250">
        <v>3000</v>
      </c>
      <c r="F3250">
        <v>2200</v>
      </c>
      <c r="G3250">
        <v>660</v>
      </c>
      <c r="H3250" s="114">
        <v>114520</v>
      </c>
      <c r="I3250" s="114">
        <v>120480</v>
      </c>
    </row>
    <row r="3251" spans="4:9" ht="14.4" customHeight="1" x14ac:dyDescent="0.3">
      <c r="F3251">
        <v>2400</v>
      </c>
      <c r="G3251">
        <v>660</v>
      </c>
      <c r="H3251" s="114">
        <v>134940</v>
      </c>
      <c r="I3251" s="114">
        <v>142180</v>
      </c>
    </row>
    <row r="3252" spans="4:9" ht="14.4" customHeight="1" x14ac:dyDescent="0.3">
      <c r="D3252" t="s">
        <v>581</v>
      </c>
      <c r="E3252">
        <v>2400</v>
      </c>
      <c r="F3252">
        <v>2200</v>
      </c>
      <c r="G3252">
        <v>660</v>
      </c>
      <c r="H3252" s="114">
        <v>107420</v>
      </c>
      <c r="I3252" s="114">
        <v>112530</v>
      </c>
    </row>
    <row r="3253" spans="4:9" ht="14.4" customHeight="1" x14ac:dyDescent="0.3">
      <c r="F3253">
        <v>2400</v>
      </c>
      <c r="G3253">
        <v>660</v>
      </c>
      <c r="H3253" s="114">
        <v>126070</v>
      </c>
      <c r="I3253" s="114">
        <v>132250</v>
      </c>
    </row>
    <row r="3254" spans="4:9" ht="14.4" customHeight="1" x14ac:dyDescent="0.3">
      <c r="E3254">
        <v>2700</v>
      </c>
      <c r="F3254">
        <v>2200</v>
      </c>
      <c r="G3254">
        <v>660</v>
      </c>
      <c r="H3254" s="114">
        <v>110980</v>
      </c>
      <c r="I3254" s="114">
        <v>116510</v>
      </c>
    </row>
    <row r="3255" spans="4:9" ht="14.4" customHeight="1" x14ac:dyDescent="0.3">
      <c r="F3255">
        <v>2400</v>
      </c>
      <c r="G3255">
        <v>660</v>
      </c>
      <c r="H3255" s="114">
        <v>129630</v>
      </c>
      <c r="I3255" s="114">
        <v>136220</v>
      </c>
    </row>
    <row r="3256" spans="4:9" ht="14.4" customHeight="1" x14ac:dyDescent="0.3">
      <c r="E3256">
        <v>3000</v>
      </c>
      <c r="F3256">
        <v>2200</v>
      </c>
      <c r="G3256">
        <v>660</v>
      </c>
      <c r="H3256" s="114">
        <v>114520</v>
      </c>
      <c r="I3256" s="114">
        <v>120480</v>
      </c>
    </row>
    <row r="3257" spans="4:9" ht="14.4" customHeight="1" x14ac:dyDescent="0.3">
      <c r="F3257">
        <v>2400</v>
      </c>
      <c r="G3257">
        <v>660</v>
      </c>
      <c r="H3257" s="114">
        <v>134940</v>
      </c>
      <c r="I3257" s="114">
        <v>142180</v>
      </c>
    </row>
    <row r="3258" spans="4:9" ht="14.4" customHeight="1" x14ac:dyDescent="0.3">
      <c r="D3258" t="s">
        <v>582</v>
      </c>
      <c r="E3258">
        <v>2400</v>
      </c>
      <c r="F3258">
        <v>2200</v>
      </c>
      <c r="G3258">
        <v>660</v>
      </c>
      <c r="H3258" s="114">
        <v>94520</v>
      </c>
      <c r="I3258" s="114">
        <v>99630</v>
      </c>
    </row>
    <row r="3259" spans="4:9" ht="14.4" customHeight="1" x14ac:dyDescent="0.3">
      <c r="F3259">
        <v>2400</v>
      </c>
      <c r="G3259">
        <v>660</v>
      </c>
      <c r="H3259" s="114">
        <v>109600</v>
      </c>
      <c r="I3259" s="114">
        <v>115780</v>
      </c>
    </row>
    <row r="3260" spans="4:9" ht="14.4" customHeight="1" x14ac:dyDescent="0.3">
      <c r="E3260">
        <v>2700</v>
      </c>
      <c r="F3260">
        <v>2200</v>
      </c>
      <c r="G3260">
        <v>660</v>
      </c>
      <c r="H3260" s="114">
        <v>98080</v>
      </c>
      <c r="I3260" s="114">
        <v>103610</v>
      </c>
    </row>
    <row r="3261" spans="4:9" ht="14.4" customHeight="1" x14ac:dyDescent="0.3">
      <c r="F3261">
        <v>2400</v>
      </c>
      <c r="G3261">
        <v>660</v>
      </c>
      <c r="H3261" s="114">
        <v>113160</v>
      </c>
      <c r="I3261" s="114">
        <v>119750</v>
      </c>
    </row>
    <row r="3262" spans="4:9" ht="14.4" customHeight="1" x14ac:dyDescent="0.3">
      <c r="E3262">
        <v>3000</v>
      </c>
      <c r="F3262">
        <v>2200</v>
      </c>
      <c r="G3262">
        <v>660</v>
      </c>
      <c r="H3262" s="114">
        <v>101620</v>
      </c>
      <c r="I3262" s="114">
        <v>107580</v>
      </c>
    </row>
    <row r="3263" spans="4:9" ht="14.4" customHeight="1" x14ac:dyDescent="0.3">
      <c r="F3263">
        <v>2400</v>
      </c>
      <c r="G3263">
        <v>660</v>
      </c>
      <c r="H3263" s="114">
        <v>118470</v>
      </c>
      <c r="I3263" s="114">
        <v>125710</v>
      </c>
    </row>
    <row r="3264" spans="4:9" ht="14.4" customHeight="1" x14ac:dyDescent="0.3">
      <c r="D3264" t="s">
        <v>583</v>
      </c>
      <c r="E3264">
        <v>2400</v>
      </c>
      <c r="F3264">
        <v>2200</v>
      </c>
      <c r="G3264">
        <v>660</v>
      </c>
      <c r="H3264" s="114">
        <v>98820</v>
      </c>
      <c r="I3264" s="114">
        <v>103930</v>
      </c>
    </row>
    <row r="3265" spans="4:9" ht="14.4" customHeight="1" x14ac:dyDescent="0.3">
      <c r="F3265">
        <v>2400</v>
      </c>
      <c r="G3265">
        <v>660</v>
      </c>
      <c r="H3265" s="114">
        <v>115090</v>
      </c>
      <c r="I3265" s="114">
        <v>121270</v>
      </c>
    </row>
    <row r="3266" spans="4:9" ht="14.4" customHeight="1" x14ac:dyDescent="0.3">
      <c r="E3266">
        <v>2700</v>
      </c>
      <c r="F3266">
        <v>2200</v>
      </c>
      <c r="G3266">
        <v>660</v>
      </c>
      <c r="H3266" s="114">
        <v>102380</v>
      </c>
      <c r="I3266" s="114">
        <v>107910</v>
      </c>
    </row>
    <row r="3267" spans="4:9" ht="14.4" customHeight="1" x14ac:dyDescent="0.3">
      <c r="F3267">
        <v>2400</v>
      </c>
      <c r="G3267">
        <v>660</v>
      </c>
      <c r="H3267" s="114">
        <v>118650</v>
      </c>
      <c r="I3267" s="114">
        <v>125240</v>
      </c>
    </row>
    <row r="3268" spans="4:9" ht="14.4" customHeight="1" x14ac:dyDescent="0.3">
      <c r="E3268">
        <v>3000</v>
      </c>
      <c r="F3268">
        <v>2200</v>
      </c>
      <c r="G3268">
        <v>660</v>
      </c>
      <c r="H3268" s="114">
        <v>105920</v>
      </c>
      <c r="I3268" s="114">
        <v>111880</v>
      </c>
    </row>
    <row r="3269" spans="4:9" ht="14.4" customHeight="1" x14ac:dyDescent="0.3">
      <c r="F3269">
        <v>2400</v>
      </c>
      <c r="G3269">
        <v>660</v>
      </c>
      <c r="H3269" s="114">
        <v>123960</v>
      </c>
      <c r="I3269" s="114">
        <v>131200</v>
      </c>
    </row>
    <row r="3270" spans="4:9" ht="14.4" customHeight="1" x14ac:dyDescent="0.3">
      <c r="D3270" t="s">
        <v>584</v>
      </c>
      <c r="E3270">
        <v>2400</v>
      </c>
      <c r="F3270">
        <v>2200</v>
      </c>
      <c r="G3270">
        <v>660</v>
      </c>
      <c r="H3270" s="114">
        <v>98820</v>
      </c>
      <c r="I3270" s="114">
        <v>103930</v>
      </c>
    </row>
    <row r="3271" spans="4:9" ht="14.4" customHeight="1" x14ac:dyDescent="0.3">
      <c r="F3271">
        <v>2400</v>
      </c>
      <c r="G3271">
        <v>660</v>
      </c>
      <c r="H3271" s="114">
        <v>115090</v>
      </c>
      <c r="I3271" s="114">
        <v>121270</v>
      </c>
    </row>
    <row r="3272" spans="4:9" ht="14.4" customHeight="1" x14ac:dyDescent="0.3">
      <c r="E3272">
        <v>2700</v>
      </c>
      <c r="F3272">
        <v>2200</v>
      </c>
      <c r="G3272">
        <v>660</v>
      </c>
      <c r="H3272" s="114">
        <v>102380</v>
      </c>
      <c r="I3272" s="114">
        <v>107910</v>
      </c>
    </row>
    <row r="3273" spans="4:9" ht="14.4" customHeight="1" x14ac:dyDescent="0.3">
      <c r="F3273">
        <v>2400</v>
      </c>
      <c r="G3273">
        <v>660</v>
      </c>
      <c r="H3273" s="114">
        <v>118650</v>
      </c>
      <c r="I3273" s="114">
        <v>125240</v>
      </c>
    </row>
    <row r="3274" spans="4:9" ht="14.4" customHeight="1" x14ac:dyDescent="0.3">
      <c r="E3274">
        <v>3000</v>
      </c>
      <c r="F3274">
        <v>2200</v>
      </c>
      <c r="G3274">
        <v>660</v>
      </c>
      <c r="H3274" s="114">
        <v>105920</v>
      </c>
      <c r="I3274" s="114">
        <v>111880</v>
      </c>
    </row>
    <row r="3275" spans="4:9" ht="14.4" customHeight="1" x14ac:dyDescent="0.3">
      <c r="F3275">
        <v>2400</v>
      </c>
      <c r="G3275">
        <v>660</v>
      </c>
      <c r="H3275" s="114">
        <v>123960</v>
      </c>
      <c r="I3275" s="114">
        <v>131200</v>
      </c>
    </row>
    <row r="3276" spans="4:9" ht="14.4" customHeight="1" x14ac:dyDescent="0.3">
      <c r="D3276" t="s">
        <v>585</v>
      </c>
      <c r="E3276">
        <v>2400</v>
      </c>
      <c r="F3276">
        <v>2200</v>
      </c>
      <c r="G3276">
        <v>660</v>
      </c>
      <c r="H3276" s="114">
        <v>76940</v>
      </c>
      <c r="I3276" s="114">
        <v>82050</v>
      </c>
    </row>
    <row r="3277" spans="4:9" ht="14.4" customHeight="1" x14ac:dyDescent="0.3">
      <c r="F3277">
        <v>2400</v>
      </c>
      <c r="G3277">
        <v>660</v>
      </c>
      <c r="H3277" s="114">
        <v>87890</v>
      </c>
      <c r="I3277" s="114">
        <v>94070</v>
      </c>
    </row>
    <row r="3278" spans="4:9" ht="14.4" customHeight="1" x14ac:dyDescent="0.3">
      <c r="E3278">
        <v>2700</v>
      </c>
      <c r="F3278">
        <v>2200</v>
      </c>
      <c r="G3278">
        <v>660</v>
      </c>
      <c r="H3278" s="114">
        <v>80500</v>
      </c>
      <c r="I3278" s="114">
        <v>86030</v>
      </c>
    </row>
    <row r="3279" spans="4:9" ht="14.4" customHeight="1" x14ac:dyDescent="0.3">
      <c r="F3279">
        <v>2400</v>
      </c>
      <c r="G3279">
        <v>660</v>
      </c>
      <c r="H3279" s="114">
        <v>91450</v>
      </c>
      <c r="I3279" s="114">
        <v>98040</v>
      </c>
    </row>
    <row r="3280" spans="4:9" ht="14.4" customHeight="1" x14ac:dyDescent="0.3">
      <c r="E3280">
        <v>3000</v>
      </c>
      <c r="F3280">
        <v>2200</v>
      </c>
      <c r="G3280">
        <v>660</v>
      </c>
      <c r="H3280" s="114">
        <v>84040</v>
      </c>
      <c r="I3280" s="114">
        <v>90000</v>
      </c>
    </row>
    <row r="3281" spans="4:9" ht="14.4" customHeight="1" x14ac:dyDescent="0.3">
      <c r="F3281">
        <v>2400</v>
      </c>
      <c r="G3281">
        <v>660</v>
      </c>
      <c r="H3281" s="114">
        <v>96760</v>
      </c>
      <c r="I3281" s="114">
        <v>104000</v>
      </c>
    </row>
    <row r="3282" spans="4:9" ht="14.4" customHeight="1" x14ac:dyDescent="0.3">
      <c r="D3282" t="s">
        <v>586</v>
      </c>
      <c r="E3282">
        <v>2400</v>
      </c>
      <c r="F3282">
        <v>2200</v>
      </c>
      <c r="G3282">
        <v>660</v>
      </c>
      <c r="H3282" s="114">
        <v>66300</v>
      </c>
      <c r="I3282" s="114">
        <v>72690</v>
      </c>
    </row>
    <row r="3283" spans="4:9" ht="14.4" customHeight="1" x14ac:dyDescent="0.3">
      <c r="F3283">
        <v>2400</v>
      </c>
      <c r="G3283">
        <v>660</v>
      </c>
      <c r="H3283" s="114">
        <v>76050</v>
      </c>
      <c r="I3283" s="114">
        <v>83510</v>
      </c>
    </row>
    <row r="3284" spans="4:9" ht="14.4" customHeight="1" x14ac:dyDescent="0.3">
      <c r="E3284">
        <v>2700</v>
      </c>
      <c r="F3284">
        <v>2200</v>
      </c>
      <c r="G3284">
        <v>660</v>
      </c>
      <c r="H3284" s="114">
        <v>69860</v>
      </c>
      <c r="I3284" s="114">
        <v>76670</v>
      </c>
    </row>
    <row r="3285" spans="4:9" ht="14.4" customHeight="1" x14ac:dyDescent="0.3">
      <c r="F3285">
        <v>2400</v>
      </c>
      <c r="G3285">
        <v>660</v>
      </c>
      <c r="H3285" s="114">
        <v>79610</v>
      </c>
      <c r="I3285" s="114">
        <v>87480</v>
      </c>
    </row>
    <row r="3286" spans="4:9" ht="14.4" customHeight="1" x14ac:dyDescent="0.3">
      <c r="E3286">
        <v>3000</v>
      </c>
      <c r="F3286">
        <v>2200</v>
      </c>
      <c r="G3286">
        <v>660</v>
      </c>
      <c r="H3286" s="114">
        <v>73400</v>
      </c>
      <c r="I3286" s="114">
        <v>80640</v>
      </c>
    </row>
    <row r="3287" spans="4:9" ht="14.4" customHeight="1" x14ac:dyDescent="0.3">
      <c r="F3287">
        <v>2400</v>
      </c>
      <c r="G3287">
        <v>660</v>
      </c>
      <c r="H3287" s="114">
        <v>84920</v>
      </c>
      <c r="I3287" s="114">
        <v>93440</v>
      </c>
    </row>
    <row r="3288" spans="4:9" ht="14.4" customHeight="1" x14ac:dyDescent="0.3">
      <c r="D3288" t="s">
        <v>587</v>
      </c>
      <c r="E3288">
        <v>2400</v>
      </c>
      <c r="F3288">
        <v>2200</v>
      </c>
      <c r="G3288">
        <v>660</v>
      </c>
      <c r="H3288" s="114">
        <v>98820</v>
      </c>
      <c r="I3288" s="114">
        <v>103930</v>
      </c>
    </row>
    <row r="3289" spans="4:9" ht="14.4" customHeight="1" x14ac:dyDescent="0.3">
      <c r="F3289">
        <v>2400</v>
      </c>
      <c r="G3289">
        <v>660</v>
      </c>
      <c r="H3289" s="114">
        <v>115090</v>
      </c>
      <c r="I3289" s="114">
        <v>121270</v>
      </c>
    </row>
    <row r="3290" spans="4:9" ht="14.4" customHeight="1" x14ac:dyDescent="0.3">
      <c r="E3290">
        <v>2700</v>
      </c>
      <c r="F3290">
        <v>2200</v>
      </c>
      <c r="G3290">
        <v>660</v>
      </c>
      <c r="H3290" s="114">
        <v>102380</v>
      </c>
      <c r="I3290" s="114">
        <v>107910</v>
      </c>
    </row>
    <row r="3291" spans="4:9" ht="14.4" customHeight="1" x14ac:dyDescent="0.3">
      <c r="F3291">
        <v>2400</v>
      </c>
      <c r="G3291">
        <v>660</v>
      </c>
      <c r="H3291" s="114">
        <v>118650</v>
      </c>
      <c r="I3291" s="114">
        <v>125240</v>
      </c>
    </row>
    <row r="3292" spans="4:9" ht="14.4" customHeight="1" x14ac:dyDescent="0.3">
      <c r="E3292">
        <v>3000</v>
      </c>
      <c r="F3292">
        <v>2200</v>
      </c>
      <c r="G3292">
        <v>660</v>
      </c>
      <c r="H3292" s="114">
        <v>105920</v>
      </c>
      <c r="I3292" s="114">
        <v>111880</v>
      </c>
    </row>
    <row r="3293" spans="4:9" ht="14.4" customHeight="1" x14ac:dyDescent="0.3">
      <c r="F3293">
        <v>2400</v>
      </c>
      <c r="G3293">
        <v>660</v>
      </c>
      <c r="H3293" s="114">
        <v>123960</v>
      </c>
      <c r="I3293" s="114">
        <v>131200</v>
      </c>
    </row>
    <row r="3294" spans="4:9" ht="14.4" customHeight="1" x14ac:dyDescent="0.3">
      <c r="D3294" t="s">
        <v>588</v>
      </c>
      <c r="E3294">
        <v>2400</v>
      </c>
      <c r="F3294">
        <v>2200</v>
      </c>
      <c r="G3294">
        <v>660</v>
      </c>
      <c r="H3294" s="114">
        <v>98820</v>
      </c>
      <c r="I3294" s="114">
        <v>103930</v>
      </c>
    </row>
    <row r="3295" spans="4:9" ht="14.4" customHeight="1" x14ac:dyDescent="0.3">
      <c r="F3295">
        <v>2400</v>
      </c>
      <c r="G3295">
        <v>660</v>
      </c>
      <c r="H3295" s="114">
        <v>115090</v>
      </c>
      <c r="I3295" s="114">
        <v>121270</v>
      </c>
    </row>
    <row r="3296" spans="4:9" ht="14.4" customHeight="1" x14ac:dyDescent="0.3">
      <c r="E3296">
        <v>2700</v>
      </c>
      <c r="F3296">
        <v>2200</v>
      </c>
      <c r="G3296">
        <v>660</v>
      </c>
      <c r="H3296" s="114">
        <v>102380</v>
      </c>
      <c r="I3296" s="114">
        <v>107910</v>
      </c>
    </row>
    <row r="3297" spans="4:9" ht="14.4" customHeight="1" x14ac:dyDescent="0.3">
      <c r="F3297">
        <v>2400</v>
      </c>
      <c r="G3297">
        <v>660</v>
      </c>
      <c r="H3297" s="114">
        <v>118650</v>
      </c>
      <c r="I3297" s="114">
        <v>125240</v>
      </c>
    </row>
    <row r="3298" spans="4:9" ht="14.4" customHeight="1" x14ac:dyDescent="0.3">
      <c r="E3298">
        <v>3000</v>
      </c>
      <c r="F3298">
        <v>2200</v>
      </c>
      <c r="G3298">
        <v>660</v>
      </c>
      <c r="H3298" s="114">
        <v>105920</v>
      </c>
      <c r="I3298" s="114">
        <v>111880</v>
      </c>
    </row>
    <row r="3299" spans="4:9" ht="14.4" customHeight="1" x14ac:dyDescent="0.3">
      <c r="F3299">
        <v>2400</v>
      </c>
      <c r="G3299">
        <v>660</v>
      </c>
      <c r="H3299" s="114">
        <v>123960</v>
      </c>
      <c r="I3299" s="114">
        <v>131200</v>
      </c>
    </row>
    <row r="3300" spans="4:9" ht="14.4" customHeight="1" x14ac:dyDescent="0.3">
      <c r="D3300" t="s">
        <v>589</v>
      </c>
      <c r="E3300">
        <v>2400</v>
      </c>
      <c r="F3300">
        <v>2200</v>
      </c>
      <c r="G3300">
        <v>660</v>
      </c>
      <c r="H3300" s="114">
        <v>98820</v>
      </c>
      <c r="I3300" s="114">
        <v>103930</v>
      </c>
    </row>
    <row r="3301" spans="4:9" ht="14.4" customHeight="1" x14ac:dyDescent="0.3">
      <c r="F3301">
        <v>2400</v>
      </c>
      <c r="G3301">
        <v>660</v>
      </c>
      <c r="H3301" s="114">
        <v>115090</v>
      </c>
      <c r="I3301" s="114">
        <v>121270</v>
      </c>
    </row>
    <row r="3302" spans="4:9" ht="14.4" customHeight="1" x14ac:dyDescent="0.3">
      <c r="E3302">
        <v>2700</v>
      </c>
      <c r="F3302">
        <v>2200</v>
      </c>
      <c r="G3302">
        <v>660</v>
      </c>
      <c r="H3302" s="114">
        <v>102380</v>
      </c>
      <c r="I3302" s="114">
        <v>107910</v>
      </c>
    </row>
    <row r="3303" spans="4:9" ht="14.4" customHeight="1" x14ac:dyDescent="0.3">
      <c r="F3303">
        <v>2400</v>
      </c>
      <c r="G3303">
        <v>660</v>
      </c>
      <c r="H3303" s="114">
        <v>118650</v>
      </c>
      <c r="I3303" s="114">
        <v>125240</v>
      </c>
    </row>
    <row r="3304" spans="4:9" ht="14.4" customHeight="1" x14ac:dyDescent="0.3">
      <c r="E3304">
        <v>3000</v>
      </c>
      <c r="F3304">
        <v>2200</v>
      </c>
      <c r="G3304">
        <v>660</v>
      </c>
      <c r="H3304" s="114">
        <v>105920</v>
      </c>
      <c r="I3304" s="114">
        <v>111880</v>
      </c>
    </row>
    <row r="3305" spans="4:9" ht="14.4" customHeight="1" x14ac:dyDescent="0.3">
      <c r="F3305">
        <v>2400</v>
      </c>
      <c r="G3305">
        <v>660</v>
      </c>
      <c r="H3305" s="114">
        <v>123960</v>
      </c>
      <c r="I3305" s="114">
        <v>131200</v>
      </c>
    </row>
    <row r="3306" spans="4:9" ht="14.4" customHeight="1" x14ac:dyDescent="0.3">
      <c r="D3306" t="s">
        <v>590</v>
      </c>
      <c r="E3306">
        <v>2400</v>
      </c>
      <c r="F3306">
        <v>2200</v>
      </c>
      <c r="G3306">
        <v>660</v>
      </c>
      <c r="H3306" s="114">
        <v>98820</v>
      </c>
      <c r="I3306" s="114">
        <v>103930</v>
      </c>
    </row>
    <row r="3307" spans="4:9" ht="14.4" customHeight="1" x14ac:dyDescent="0.3">
      <c r="F3307">
        <v>2400</v>
      </c>
      <c r="G3307">
        <v>660</v>
      </c>
      <c r="H3307" s="114">
        <v>115090</v>
      </c>
      <c r="I3307" s="114">
        <v>121270</v>
      </c>
    </row>
    <row r="3308" spans="4:9" ht="14.4" customHeight="1" x14ac:dyDescent="0.3">
      <c r="E3308">
        <v>2700</v>
      </c>
      <c r="F3308">
        <v>2200</v>
      </c>
      <c r="G3308">
        <v>660</v>
      </c>
      <c r="H3308" s="114">
        <v>102380</v>
      </c>
      <c r="I3308" s="114">
        <v>107910</v>
      </c>
    </row>
    <row r="3309" spans="4:9" ht="14.4" customHeight="1" x14ac:dyDescent="0.3">
      <c r="F3309">
        <v>2400</v>
      </c>
      <c r="G3309">
        <v>660</v>
      </c>
      <c r="H3309" s="114">
        <v>118650</v>
      </c>
      <c r="I3309" s="114">
        <v>125240</v>
      </c>
    </row>
    <row r="3310" spans="4:9" ht="14.4" customHeight="1" x14ac:dyDescent="0.3">
      <c r="E3310">
        <v>3000</v>
      </c>
      <c r="F3310">
        <v>2200</v>
      </c>
      <c r="G3310">
        <v>660</v>
      </c>
      <c r="H3310" s="114">
        <v>105920</v>
      </c>
      <c r="I3310" s="114">
        <v>111880</v>
      </c>
    </row>
    <row r="3311" spans="4:9" ht="14.4" customHeight="1" x14ac:dyDescent="0.3">
      <c r="F3311">
        <v>2400</v>
      </c>
      <c r="G3311">
        <v>660</v>
      </c>
      <c r="H3311" s="114">
        <v>123960</v>
      </c>
      <c r="I3311" s="114">
        <v>131200</v>
      </c>
    </row>
    <row r="3312" spans="4:9" ht="14.4" customHeight="1" x14ac:dyDescent="0.3">
      <c r="D3312" t="s">
        <v>591</v>
      </c>
      <c r="E3312">
        <v>2400</v>
      </c>
      <c r="F3312">
        <v>2200</v>
      </c>
      <c r="G3312">
        <v>660</v>
      </c>
      <c r="H3312" s="114">
        <v>81620</v>
      </c>
      <c r="I3312" s="114">
        <v>86730</v>
      </c>
    </row>
    <row r="3313" spans="4:9" ht="14.4" customHeight="1" x14ac:dyDescent="0.3">
      <c r="F3313">
        <v>2400</v>
      </c>
      <c r="G3313">
        <v>660</v>
      </c>
      <c r="H3313" s="114">
        <v>93130</v>
      </c>
      <c r="I3313" s="114">
        <v>99310</v>
      </c>
    </row>
    <row r="3314" spans="4:9" ht="14.4" customHeight="1" x14ac:dyDescent="0.3">
      <c r="E3314">
        <v>2700</v>
      </c>
      <c r="F3314">
        <v>2200</v>
      </c>
      <c r="G3314">
        <v>660</v>
      </c>
      <c r="H3314" s="114">
        <v>85180</v>
      </c>
      <c r="I3314" s="114">
        <v>90710</v>
      </c>
    </row>
    <row r="3315" spans="4:9" ht="14.4" customHeight="1" x14ac:dyDescent="0.3">
      <c r="F3315">
        <v>2400</v>
      </c>
      <c r="G3315">
        <v>660</v>
      </c>
      <c r="H3315" s="114">
        <v>96690</v>
      </c>
      <c r="I3315" s="114">
        <v>103280</v>
      </c>
    </row>
    <row r="3316" spans="4:9" ht="14.4" customHeight="1" x14ac:dyDescent="0.3">
      <c r="E3316">
        <v>3000</v>
      </c>
      <c r="F3316">
        <v>2200</v>
      </c>
      <c r="G3316">
        <v>660</v>
      </c>
      <c r="H3316" s="114">
        <v>88720</v>
      </c>
      <c r="I3316" s="114">
        <v>94680</v>
      </c>
    </row>
    <row r="3317" spans="4:9" ht="14.4" customHeight="1" x14ac:dyDescent="0.3">
      <c r="F3317">
        <v>2400</v>
      </c>
      <c r="G3317">
        <v>660</v>
      </c>
      <c r="H3317" s="114">
        <v>102000</v>
      </c>
      <c r="I3317" s="114">
        <v>109240</v>
      </c>
    </row>
    <row r="3318" spans="4:9" ht="14.4" customHeight="1" x14ac:dyDescent="0.3">
      <c r="D3318" t="s">
        <v>592</v>
      </c>
      <c r="E3318">
        <v>2400</v>
      </c>
      <c r="F3318">
        <v>2200</v>
      </c>
      <c r="G3318">
        <v>660</v>
      </c>
      <c r="H3318" s="114">
        <v>90220</v>
      </c>
      <c r="I3318" s="114">
        <v>95330</v>
      </c>
    </row>
    <row r="3319" spans="4:9" ht="14.4" customHeight="1" x14ac:dyDescent="0.3">
      <c r="F3319">
        <v>2400</v>
      </c>
      <c r="G3319">
        <v>660</v>
      </c>
      <c r="H3319" s="114">
        <v>104110</v>
      </c>
      <c r="I3319" s="114">
        <v>110290</v>
      </c>
    </row>
    <row r="3320" spans="4:9" ht="14.4" customHeight="1" x14ac:dyDescent="0.3">
      <c r="E3320">
        <v>2700</v>
      </c>
      <c r="F3320">
        <v>2200</v>
      </c>
      <c r="G3320">
        <v>660</v>
      </c>
      <c r="H3320" s="114">
        <v>93780</v>
      </c>
      <c r="I3320" s="114">
        <v>99310</v>
      </c>
    </row>
    <row r="3321" spans="4:9" ht="14.4" customHeight="1" x14ac:dyDescent="0.3">
      <c r="F3321">
        <v>2400</v>
      </c>
      <c r="G3321">
        <v>660</v>
      </c>
      <c r="H3321" s="114">
        <v>107670</v>
      </c>
      <c r="I3321" s="114">
        <v>114260</v>
      </c>
    </row>
    <row r="3322" spans="4:9" ht="14.4" customHeight="1" x14ac:dyDescent="0.3">
      <c r="E3322">
        <v>3000</v>
      </c>
      <c r="F3322">
        <v>2200</v>
      </c>
      <c r="G3322">
        <v>660</v>
      </c>
      <c r="H3322" s="114">
        <v>97320</v>
      </c>
      <c r="I3322" s="114">
        <v>103280</v>
      </c>
    </row>
    <row r="3323" spans="4:9" ht="14.4" customHeight="1" x14ac:dyDescent="0.3">
      <c r="F3323">
        <v>2400</v>
      </c>
      <c r="G3323">
        <v>660</v>
      </c>
      <c r="H3323" s="114">
        <v>112980</v>
      </c>
      <c r="I3323" s="114">
        <v>120220</v>
      </c>
    </row>
    <row r="3324" spans="4:9" ht="14.4" customHeight="1" x14ac:dyDescent="0.3">
      <c r="D3324" t="s">
        <v>593</v>
      </c>
      <c r="E3324">
        <v>2400</v>
      </c>
      <c r="F3324">
        <v>2200</v>
      </c>
      <c r="G3324">
        <v>660</v>
      </c>
      <c r="H3324" s="114">
        <v>107420</v>
      </c>
      <c r="I3324" s="114">
        <v>112530</v>
      </c>
    </row>
    <row r="3325" spans="4:9" ht="14.4" customHeight="1" x14ac:dyDescent="0.3">
      <c r="F3325">
        <v>2400</v>
      </c>
      <c r="G3325">
        <v>660</v>
      </c>
      <c r="H3325" s="114">
        <v>126070</v>
      </c>
      <c r="I3325" s="114">
        <v>132250</v>
      </c>
    </row>
    <row r="3326" spans="4:9" ht="14.4" customHeight="1" x14ac:dyDescent="0.3">
      <c r="E3326">
        <v>2700</v>
      </c>
      <c r="F3326">
        <v>2200</v>
      </c>
      <c r="G3326">
        <v>660</v>
      </c>
      <c r="H3326" s="114">
        <v>110980</v>
      </c>
      <c r="I3326" s="114">
        <v>116510</v>
      </c>
    </row>
    <row r="3327" spans="4:9" ht="14.4" customHeight="1" x14ac:dyDescent="0.3">
      <c r="F3327">
        <v>2400</v>
      </c>
      <c r="G3327">
        <v>660</v>
      </c>
      <c r="H3327" s="114">
        <v>129630</v>
      </c>
      <c r="I3327" s="114">
        <v>136220</v>
      </c>
    </row>
    <row r="3328" spans="4:9" ht="14.4" customHeight="1" x14ac:dyDescent="0.3">
      <c r="E3328">
        <v>3000</v>
      </c>
      <c r="F3328">
        <v>2200</v>
      </c>
      <c r="G3328">
        <v>660</v>
      </c>
      <c r="H3328" s="114">
        <v>114520</v>
      </c>
      <c r="I3328" s="114">
        <v>120480</v>
      </c>
    </row>
    <row r="3329" spans="4:9" ht="14.4" customHeight="1" x14ac:dyDescent="0.3">
      <c r="F3329">
        <v>2400</v>
      </c>
      <c r="G3329">
        <v>660</v>
      </c>
      <c r="H3329" s="114">
        <v>134940</v>
      </c>
      <c r="I3329" s="114">
        <v>142180</v>
      </c>
    </row>
    <row r="3330" spans="4:9" ht="14.4" customHeight="1" x14ac:dyDescent="0.3">
      <c r="D3330" t="s">
        <v>594</v>
      </c>
      <c r="E3330">
        <v>2400</v>
      </c>
      <c r="F3330">
        <v>2200</v>
      </c>
      <c r="G3330">
        <v>660</v>
      </c>
      <c r="H3330" s="114">
        <v>85540</v>
      </c>
      <c r="I3330" s="114">
        <v>90650</v>
      </c>
    </row>
    <row r="3331" spans="4:9" ht="14.4" customHeight="1" x14ac:dyDescent="0.3">
      <c r="F3331">
        <v>2400</v>
      </c>
      <c r="G3331">
        <v>660</v>
      </c>
      <c r="H3331" s="114">
        <v>98870</v>
      </c>
      <c r="I3331" s="114">
        <v>105050</v>
      </c>
    </row>
    <row r="3332" spans="4:9" ht="14.4" customHeight="1" x14ac:dyDescent="0.3">
      <c r="E3332">
        <v>2700</v>
      </c>
      <c r="F3332">
        <v>2200</v>
      </c>
      <c r="G3332">
        <v>660</v>
      </c>
      <c r="H3332" s="114">
        <v>89100</v>
      </c>
      <c r="I3332" s="114">
        <v>94630</v>
      </c>
    </row>
    <row r="3333" spans="4:9" ht="14.4" customHeight="1" x14ac:dyDescent="0.3">
      <c r="F3333">
        <v>2400</v>
      </c>
      <c r="G3333">
        <v>660</v>
      </c>
      <c r="H3333" s="114">
        <v>102430</v>
      </c>
      <c r="I3333" s="114">
        <v>109020</v>
      </c>
    </row>
    <row r="3334" spans="4:9" ht="14.4" customHeight="1" x14ac:dyDescent="0.3">
      <c r="E3334">
        <v>3000</v>
      </c>
      <c r="F3334">
        <v>2200</v>
      </c>
      <c r="G3334">
        <v>660</v>
      </c>
      <c r="H3334" s="114">
        <v>92640</v>
      </c>
      <c r="I3334" s="114">
        <v>98600</v>
      </c>
    </row>
    <row r="3335" spans="4:9" ht="14.4" customHeight="1" x14ac:dyDescent="0.3">
      <c r="F3335">
        <v>2400</v>
      </c>
      <c r="G3335">
        <v>660</v>
      </c>
      <c r="H3335" s="114">
        <v>107740</v>
      </c>
      <c r="I3335" s="114">
        <v>114980</v>
      </c>
    </row>
    <row r="3336" spans="4:9" ht="14.4" customHeight="1" x14ac:dyDescent="0.3">
      <c r="D3336" t="s">
        <v>595</v>
      </c>
      <c r="E3336">
        <v>2400</v>
      </c>
      <c r="F3336">
        <v>2200</v>
      </c>
      <c r="G3336">
        <v>660</v>
      </c>
      <c r="H3336" s="114">
        <v>85540</v>
      </c>
      <c r="I3336" s="114">
        <v>90650</v>
      </c>
    </row>
    <row r="3337" spans="4:9" ht="14.4" customHeight="1" x14ac:dyDescent="0.3">
      <c r="F3337">
        <v>2400</v>
      </c>
      <c r="G3337">
        <v>660</v>
      </c>
      <c r="H3337" s="114">
        <v>98870</v>
      </c>
      <c r="I3337" s="114">
        <v>105050</v>
      </c>
    </row>
    <row r="3338" spans="4:9" ht="14.4" customHeight="1" x14ac:dyDescent="0.3">
      <c r="E3338">
        <v>2700</v>
      </c>
      <c r="F3338">
        <v>2200</v>
      </c>
      <c r="G3338">
        <v>660</v>
      </c>
      <c r="H3338" s="114">
        <v>89100</v>
      </c>
      <c r="I3338" s="114">
        <v>94630</v>
      </c>
    </row>
    <row r="3339" spans="4:9" ht="14.4" customHeight="1" x14ac:dyDescent="0.3">
      <c r="F3339">
        <v>2400</v>
      </c>
      <c r="G3339">
        <v>660</v>
      </c>
      <c r="H3339" s="114">
        <v>102430</v>
      </c>
      <c r="I3339" s="114">
        <v>109020</v>
      </c>
    </row>
    <row r="3340" spans="4:9" ht="14.4" customHeight="1" x14ac:dyDescent="0.3">
      <c r="E3340">
        <v>3000</v>
      </c>
      <c r="F3340">
        <v>2200</v>
      </c>
      <c r="G3340">
        <v>660</v>
      </c>
      <c r="H3340" s="114">
        <v>92640</v>
      </c>
      <c r="I3340" s="114">
        <v>98600</v>
      </c>
    </row>
    <row r="3341" spans="4:9" ht="14.4" customHeight="1" x14ac:dyDescent="0.3">
      <c r="F3341">
        <v>2400</v>
      </c>
      <c r="G3341">
        <v>660</v>
      </c>
      <c r="H3341" s="114">
        <v>107740</v>
      </c>
      <c r="I3341" s="114">
        <v>114980</v>
      </c>
    </row>
    <row r="3342" spans="4:9" ht="14.4" customHeight="1" x14ac:dyDescent="0.3">
      <c r="D3342" t="s">
        <v>596</v>
      </c>
      <c r="E3342">
        <v>2400</v>
      </c>
      <c r="F3342">
        <v>2200</v>
      </c>
      <c r="G3342">
        <v>660</v>
      </c>
      <c r="H3342" s="114">
        <v>74900</v>
      </c>
      <c r="I3342" s="114">
        <v>81290</v>
      </c>
    </row>
    <row r="3343" spans="4:9" ht="14.4" customHeight="1" x14ac:dyDescent="0.3">
      <c r="F3343">
        <v>2400</v>
      </c>
      <c r="G3343">
        <v>660</v>
      </c>
      <c r="H3343" s="114">
        <v>87030</v>
      </c>
      <c r="I3343" s="114">
        <v>94490</v>
      </c>
    </row>
    <row r="3344" spans="4:9" ht="14.4" customHeight="1" x14ac:dyDescent="0.3">
      <c r="E3344">
        <v>2700</v>
      </c>
      <c r="F3344">
        <v>2200</v>
      </c>
      <c r="G3344">
        <v>660</v>
      </c>
      <c r="H3344" s="114">
        <v>78460</v>
      </c>
      <c r="I3344" s="114">
        <v>85270</v>
      </c>
    </row>
    <row r="3345" spans="4:9" ht="14.4" customHeight="1" x14ac:dyDescent="0.3">
      <c r="F3345">
        <v>2400</v>
      </c>
      <c r="G3345">
        <v>660</v>
      </c>
      <c r="H3345" s="114">
        <v>90590</v>
      </c>
      <c r="I3345" s="114">
        <v>98460</v>
      </c>
    </row>
    <row r="3346" spans="4:9" ht="14.4" customHeight="1" x14ac:dyDescent="0.3">
      <c r="E3346">
        <v>3000</v>
      </c>
      <c r="F3346">
        <v>2200</v>
      </c>
      <c r="G3346">
        <v>660</v>
      </c>
      <c r="H3346" s="114">
        <v>82000</v>
      </c>
      <c r="I3346" s="114">
        <v>89240</v>
      </c>
    </row>
    <row r="3347" spans="4:9" ht="14.4" customHeight="1" x14ac:dyDescent="0.3">
      <c r="F3347">
        <v>2400</v>
      </c>
      <c r="G3347">
        <v>660</v>
      </c>
      <c r="H3347" s="114">
        <v>95900</v>
      </c>
      <c r="I3347" s="114">
        <v>104420</v>
      </c>
    </row>
    <row r="3348" spans="4:9" ht="14.4" customHeight="1" x14ac:dyDescent="0.3">
      <c r="D3348" t="s">
        <v>597</v>
      </c>
      <c r="E3348">
        <v>2400</v>
      </c>
      <c r="F3348">
        <v>2200</v>
      </c>
      <c r="G3348">
        <v>660</v>
      </c>
      <c r="H3348" s="114">
        <v>107420</v>
      </c>
      <c r="I3348" s="114">
        <v>112530</v>
      </c>
    </row>
    <row r="3349" spans="4:9" ht="14.4" customHeight="1" x14ac:dyDescent="0.3">
      <c r="F3349">
        <v>2400</v>
      </c>
      <c r="G3349">
        <v>660</v>
      </c>
      <c r="H3349" s="114">
        <v>126070</v>
      </c>
      <c r="I3349" s="114">
        <v>132250</v>
      </c>
    </row>
    <row r="3350" spans="4:9" ht="14.4" customHeight="1" x14ac:dyDescent="0.3">
      <c r="E3350">
        <v>2700</v>
      </c>
      <c r="F3350">
        <v>2200</v>
      </c>
      <c r="G3350">
        <v>660</v>
      </c>
      <c r="H3350" s="114">
        <v>110980</v>
      </c>
      <c r="I3350" s="114">
        <v>116510</v>
      </c>
    </row>
    <row r="3351" spans="4:9" ht="14.4" customHeight="1" x14ac:dyDescent="0.3">
      <c r="F3351">
        <v>2400</v>
      </c>
      <c r="G3351">
        <v>660</v>
      </c>
      <c r="H3351" s="114">
        <v>129630</v>
      </c>
      <c r="I3351" s="114">
        <v>136220</v>
      </c>
    </row>
    <row r="3352" spans="4:9" ht="14.4" customHeight="1" x14ac:dyDescent="0.3">
      <c r="E3352">
        <v>3000</v>
      </c>
      <c r="F3352">
        <v>2200</v>
      </c>
      <c r="G3352">
        <v>660</v>
      </c>
      <c r="H3352" s="114">
        <v>114520</v>
      </c>
      <c r="I3352" s="114">
        <v>120480</v>
      </c>
    </row>
    <row r="3353" spans="4:9" ht="14.4" customHeight="1" x14ac:dyDescent="0.3">
      <c r="F3353">
        <v>2400</v>
      </c>
      <c r="G3353">
        <v>660</v>
      </c>
      <c r="H3353" s="114">
        <v>134940</v>
      </c>
      <c r="I3353" s="114">
        <v>142180</v>
      </c>
    </row>
    <row r="3354" spans="4:9" ht="14.4" customHeight="1" x14ac:dyDescent="0.3">
      <c r="D3354" t="s">
        <v>598</v>
      </c>
      <c r="E3354">
        <v>2400</v>
      </c>
      <c r="F3354">
        <v>2200</v>
      </c>
      <c r="G3354">
        <v>660</v>
      </c>
      <c r="H3354" s="114">
        <v>107420</v>
      </c>
      <c r="I3354" s="114">
        <v>112530</v>
      </c>
    </row>
    <row r="3355" spans="4:9" ht="14.4" customHeight="1" x14ac:dyDescent="0.3">
      <c r="F3355">
        <v>2400</v>
      </c>
      <c r="G3355">
        <v>660</v>
      </c>
      <c r="H3355" s="114">
        <v>126070</v>
      </c>
      <c r="I3355" s="114">
        <v>132250</v>
      </c>
    </row>
    <row r="3356" spans="4:9" ht="14.4" customHeight="1" x14ac:dyDescent="0.3">
      <c r="E3356">
        <v>2700</v>
      </c>
      <c r="F3356">
        <v>2200</v>
      </c>
      <c r="G3356">
        <v>660</v>
      </c>
      <c r="H3356" s="114">
        <v>110980</v>
      </c>
      <c r="I3356" s="114">
        <v>116510</v>
      </c>
    </row>
    <row r="3357" spans="4:9" ht="14.4" customHeight="1" x14ac:dyDescent="0.3">
      <c r="F3357">
        <v>2400</v>
      </c>
      <c r="G3357">
        <v>660</v>
      </c>
      <c r="H3357" s="114">
        <v>129630</v>
      </c>
      <c r="I3357" s="114">
        <v>136220</v>
      </c>
    </row>
    <row r="3358" spans="4:9" ht="14.4" customHeight="1" x14ac:dyDescent="0.3">
      <c r="E3358">
        <v>3000</v>
      </c>
      <c r="F3358">
        <v>2200</v>
      </c>
      <c r="G3358">
        <v>660</v>
      </c>
      <c r="H3358" s="114">
        <v>114520</v>
      </c>
      <c r="I3358" s="114">
        <v>120480</v>
      </c>
    </row>
    <row r="3359" spans="4:9" ht="14.4" customHeight="1" x14ac:dyDescent="0.3">
      <c r="F3359">
        <v>2400</v>
      </c>
      <c r="G3359">
        <v>660</v>
      </c>
      <c r="H3359" s="114">
        <v>134940</v>
      </c>
      <c r="I3359" s="114">
        <v>142180</v>
      </c>
    </row>
    <row r="3360" spans="4:9" ht="14.4" customHeight="1" x14ac:dyDescent="0.3">
      <c r="D3360" t="s">
        <v>599</v>
      </c>
      <c r="E3360">
        <v>2400</v>
      </c>
      <c r="F3360">
        <v>2200</v>
      </c>
      <c r="G3360">
        <v>660</v>
      </c>
      <c r="H3360" s="114">
        <v>107420</v>
      </c>
      <c r="I3360" s="114">
        <v>112530</v>
      </c>
    </row>
    <row r="3361" spans="4:9" ht="14.4" customHeight="1" x14ac:dyDescent="0.3">
      <c r="F3361">
        <v>2400</v>
      </c>
      <c r="G3361">
        <v>660</v>
      </c>
      <c r="H3361" s="114">
        <v>126070</v>
      </c>
      <c r="I3361" s="114">
        <v>132250</v>
      </c>
    </row>
    <row r="3362" spans="4:9" ht="14.4" customHeight="1" x14ac:dyDescent="0.3">
      <c r="E3362">
        <v>2700</v>
      </c>
      <c r="F3362">
        <v>2200</v>
      </c>
      <c r="G3362">
        <v>660</v>
      </c>
      <c r="H3362" s="114">
        <v>110980</v>
      </c>
      <c r="I3362" s="114">
        <v>116510</v>
      </c>
    </row>
    <row r="3363" spans="4:9" ht="14.4" customHeight="1" x14ac:dyDescent="0.3">
      <c r="F3363">
        <v>2400</v>
      </c>
      <c r="G3363">
        <v>660</v>
      </c>
      <c r="H3363" s="114">
        <v>129630</v>
      </c>
      <c r="I3363" s="114">
        <v>136220</v>
      </c>
    </row>
    <row r="3364" spans="4:9" ht="14.4" customHeight="1" x14ac:dyDescent="0.3">
      <c r="E3364">
        <v>3000</v>
      </c>
      <c r="F3364">
        <v>2200</v>
      </c>
      <c r="G3364">
        <v>660</v>
      </c>
      <c r="H3364" s="114">
        <v>114520</v>
      </c>
      <c r="I3364" s="114">
        <v>120480</v>
      </c>
    </row>
    <row r="3365" spans="4:9" ht="14.4" customHeight="1" x14ac:dyDescent="0.3">
      <c r="F3365">
        <v>2400</v>
      </c>
      <c r="G3365">
        <v>660</v>
      </c>
      <c r="H3365" s="114">
        <v>134940</v>
      </c>
      <c r="I3365" s="114">
        <v>142180</v>
      </c>
    </row>
    <row r="3366" spans="4:9" ht="14.4" customHeight="1" x14ac:dyDescent="0.3">
      <c r="D3366" t="s">
        <v>600</v>
      </c>
      <c r="E3366">
        <v>2400</v>
      </c>
      <c r="F3366">
        <v>2200</v>
      </c>
      <c r="G3366">
        <v>660</v>
      </c>
      <c r="H3366" s="114">
        <v>96480</v>
      </c>
      <c r="I3366" s="114">
        <v>101590</v>
      </c>
    </row>
    <row r="3367" spans="4:9" ht="14.4" customHeight="1" x14ac:dyDescent="0.3">
      <c r="F3367">
        <v>2400</v>
      </c>
      <c r="G3367">
        <v>660</v>
      </c>
      <c r="H3367" s="114">
        <v>112470</v>
      </c>
      <c r="I3367" s="114">
        <v>118650</v>
      </c>
    </row>
    <row r="3368" spans="4:9" ht="14.4" customHeight="1" x14ac:dyDescent="0.3">
      <c r="E3368">
        <v>2700</v>
      </c>
      <c r="F3368">
        <v>2200</v>
      </c>
      <c r="G3368">
        <v>660</v>
      </c>
      <c r="H3368" s="114">
        <v>100040</v>
      </c>
      <c r="I3368" s="114">
        <v>105570</v>
      </c>
    </row>
    <row r="3369" spans="4:9" ht="14.4" customHeight="1" x14ac:dyDescent="0.3">
      <c r="F3369">
        <v>2400</v>
      </c>
      <c r="G3369">
        <v>660</v>
      </c>
      <c r="H3369" s="114">
        <v>116030</v>
      </c>
      <c r="I3369" s="114">
        <v>122620</v>
      </c>
    </row>
    <row r="3370" spans="4:9" ht="14.4" customHeight="1" x14ac:dyDescent="0.3">
      <c r="E3370">
        <v>3000</v>
      </c>
      <c r="F3370">
        <v>2200</v>
      </c>
      <c r="G3370">
        <v>660</v>
      </c>
      <c r="H3370" s="114">
        <v>103580</v>
      </c>
      <c r="I3370" s="114">
        <v>109540</v>
      </c>
    </row>
    <row r="3371" spans="4:9" ht="14.4" customHeight="1" x14ac:dyDescent="0.3">
      <c r="F3371">
        <v>2400</v>
      </c>
      <c r="G3371">
        <v>660</v>
      </c>
      <c r="H3371" s="114">
        <v>121340</v>
      </c>
      <c r="I3371" s="114">
        <v>128580</v>
      </c>
    </row>
    <row r="3372" spans="4:9" ht="14.4" customHeight="1" x14ac:dyDescent="0.3">
      <c r="D3372" t="s">
        <v>601</v>
      </c>
      <c r="E3372">
        <v>2400</v>
      </c>
      <c r="F3372">
        <v>2200</v>
      </c>
      <c r="G3372">
        <v>660</v>
      </c>
      <c r="H3372" s="114">
        <v>79280</v>
      </c>
      <c r="I3372" s="114">
        <v>84390</v>
      </c>
    </row>
    <row r="3373" spans="4:9" ht="14.4" customHeight="1" x14ac:dyDescent="0.3">
      <c r="F3373">
        <v>2400</v>
      </c>
      <c r="G3373">
        <v>660</v>
      </c>
      <c r="H3373" s="114">
        <v>90510</v>
      </c>
      <c r="I3373" s="114">
        <v>96690</v>
      </c>
    </row>
    <row r="3374" spans="4:9" ht="14.4" customHeight="1" x14ac:dyDescent="0.3">
      <c r="E3374">
        <v>2700</v>
      </c>
      <c r="F3374">
        <v>2200</v>
      </c>
      <c r="G3374">
        <v>660</v>
      </c>
      <c r="H3374" s="114">
        <v>82840</v>
      </c>
      <c r="I3374" s="114">
        <v>88370</v>
      </c>
    </row>
    <row r="3375" spans="4:9" ht="14.4" customHeight="1" x14ac:dyDescent="0.3">
      <c r="F3375">
        <v>2400</v>
      </c>
      <c r="G3375">
        <v>660</v>
      </c>
      <c r="H3375" s="114">
        <v>94070</v>
      </c>
      <c r="I3375" s="114">
        <v>100660</v>
      </c>
    </row>
    <row r="3376" spans="4:9" ht="14.4" customHeight="1" x14ac:dyDescent="0.3">
      <c r="E3376">
        <v>3000</v>
      </c>
      <c r="F3376">
        <v>2200</v>
      </c>
      <c r="G3376">
        <v>660</v>
      </c>
      <c r="H3376" s="114">
        <v>86380</v>
      </c>
      <c r="I3376" s="114">
        <v>92340</v>
      </c>
    </row>
    <row r="3377" spans="4:9" ht="14.4" customHeight="1" x14ac:dyDescent="0.3">
      <c r="F3377">
        <v>2400</v>
      </c>
      <c r="G3377">
        <v>660</v>
      </c>
      <c r="H3377" s="114">
        <v>99380</v>
      </c>
      <c r="I3377" s="114">
        <v>106620</v>
      </c>
    </row>
    <row r="3378" spans="4:9" ht="14.4" customHeight="1" x14ac:dyDescent="0.3">
      <c r="D3378" t="s">
        <v>602</v>
      </c>
      <c r="E3378">
        <v>2400</v>
      </c>
      <c r="F3378">
        <v>2200</v>
      </c>
      <c r="G3378">
        <v>660</v>
      </c>
      <c r="H3378" s="114">
        <v>63960</v>
      </c>
      <c r="I3378" s="114">
        <v>70350</v>
      </c>
    </row>
    <row r="3379" spans="4:9" ht="14.4" customHeight="1" x14ac:dyDescent="0.3">
      <c r="F3379">
        <v>2400</v>
      </c>
      <c r="G3379">
        <v>660</v>
      </c>
      <c r="H3379" s="114">
        <v>73430</v>
      </c>
      <c r="I3379" s="114">
        <v>80890</v>
      </c>
    </row>
    <row r="3380" spans="4:9" ht="14.4" customHeight="1" x14ac:dyDescent="0.3">
      <c r="E3380">
        <v>2700</v>
      </c>
      <c r="F3380">
        <v>2200</v>
      </c>
      <c r="G3380">
        <v>660</v>
      </c>
      <c r="H3380" s="114">
        <v>67520</v>
      </c>
      <c r="I3380" s="114">
        <v>74330</v>
      </c>
    </row>
    <row r="3381" spans="4:9" ht="14.4" customHeight="1" x14ac:dyDescent="0.3">
      <c r="F3381">
        <v>2400</v>
      </c>
      <c r="G3381">
        <v>660</v>
      </c>
      <c r="H3381" s="114">
        <v>76990</v>
      </c>
      <c r="I3381" s="114">
        <v>84860</v>
      </c>
    </row>
    <row r="3382" spans="4:9" ht="14.4" customHeight="1" x14ac:dyDescent="0.3">
      <c r="E3382">
        <v>3000</v>
      </c>
      <c r="F3382">
        <v>2200</v>
      </c>
      <c r="G3382">
        <v>660</v>
      </c>
      <c r="H3382" s="114">
        <v>71060</v>
      </c>
      <c r="I3382" s="114">
        <v>78300</v>
      </c>
    </row>
    <row r="3383" spans="4:9" ht="14.4" customHeight="1" x14ac:dyDescent="0.3">
      <c r="F3383">
        <v>2400</v>
      </c>
      <c r="G3383">
        <v>660</v>
      </c>
      <c r="H3383" s="114">
        <v>82300</v>
      </c>
      <c r="I3383" s="114">
        <v>90820</v>
      </c>
    </row>
    <row r="3384" spans="4:9" ht="14.4" customHeight="1" x14ac:dyDescent="0.3">
      <c r="D3384" t="s">
        <v>603</v>
      </c>
      <c r="E3384">
        <v>2400</v>
      </c>
      <c r="F3384">
        <v>2200</v>
      </c>
      <c r="G3384">
        <v>660</v>
      </c>
      <c r="H3384" s="114">
        <v>96480</v>
      </c>
      <c r="I3384" s="114">
        <v>101590</v>
      </c>
    </row>
    <row r="3385" spans="4:9" ht="14.4" customHeight="1" x14ac:dyDescent="0.3">
      <c r="F3385">
        <v>2400</v>
      </c>
      <c r="G3385">
        <v>660</v>
      </c>
      <c r="H3385" s="114">
        <v>112470</v>
      </c>
      <c r="I3385" s="114">
        <v>118650</v>
      </c>
    </row>
    <row r="3386" spans="4:9" ht="14.4" customHeight="1" x14ac:dyDescent="0.3">
      <c r="E3386">
        <v>2700</v>
      </c>
      <c r="F3386">
        <v>2200</v>
      </c>
      <c r="G3386">
        <v>660</v>
      </c>
      <c r="H3386" s="114">
        <v>100040</v>
      </c>
      <c r="I3386" s="114">
        <v>105570</v>
      </c>
    </row>
    <row r="3387" spans="4:9" ht="14.4" customHeight="1" x14ac:dyDescent="0.3">
      <c r="F3387">
        <v>2400</v>
      </c>
      <c r="G3387">
        <v>660</v>
      </c>
      <c r="H3387" s="114">
        <v>116030</v>
      </c>
      <c r="I3387" s="114">
        <v>122620</v>
      </c>
    </row>
    <row r="3388" spans="4:9" ht="14.4" customHeight="1" x14ac:dyDescent="0.3">
      <c r="E3388">
        <v>3000</v>
      </c>
      <c r="F3388">
        <v>2200</v>
      </c>
      <c r="G3388">
        <v>660</v>
      </c>
      <c r="H3388" s="114">
        <v>103580</v>
      </c>
      <c r="I3388" s="114">
        <v>109540</v>
      </c>
    </row>
    <row r="3389" spans="4:9" ht="14.4" customHeight="1" x14ac:dyDescent="0.3">
      <c r="F3389">
        <v>2400</v>
      </c>
      <c r="G3389">
        <v>660</v>
      </c>
      <c r="H3389" s="114">
        <v>121340</v>
      </c>
      <c r="I3389" s="114">
        <v>128580</v>
      </c>
    </row>
    <row r="3390" spans="4:9" ht="14.4" customHeight="1" x14ac:dyDescent="0.3">
      <c r="D3390" t="s">
        <v>604</v>
      </c>
      <c r="E3390">
        <v>2400</v>
      </c>
      <c r="F3390">
        <v>2200</v>
      </c>
      <c r="G3390">
        <v>660</v>
      </c>
      <c r="H3390" s="114">
        <v>96480</v>
      </c>
      <c r="I3390" s="114">
        <v>101590</v>
      </c>
    </row>
    <row r="3391" spans="4:9" ht="14.4" customHeight="1" x14ac:dyDescent="0.3">
      <c r="F3391">
        <v>2400</v>
      </c>
      <c r="G3391">
        <v>660</v>
      </c>
      <c r="H3391" s="114">
        <v>112470</v>
      </c>
      <c r="I3391" s="114">
        <v>118650</v>
      </c>
    </row>
    <row r="3392" spans="4:9" ht="14.4" customHeight="1" x14ac:dyDescent="0.3">
      <c r="E3392">
        <v>2700</v>
      </c>
      <c r="F3392">
        <v>2200</v>
      </c>
      <c r="G3392">
        <v>660</v>
      </c>
      <c r="H3392" s="114">
        <v>100040</v>
      </c>
      <c r="I3392" s="114">
        <v>105570</v>
      </c>
    </row>
    <row r="3393" spans="4:9" ht="14.4" customHeight="1" x14ac:dyDescent="0.3">
      <c r="F3393">
        <v>2400</v>
      </c>
      <c r="G3393">
        <v>660</v>
      </c>
      <c r="H3393" s="114">
        <v>116030</v>
      </c>
      <c r="I3393" s="114">
        <v>122620</v>
      </c>
    </row>
    <row r="3394" spans="4:9" ht="14.4" customHeight="1" x14ac:dyDescent="0.3">
      <c r="E3394">
        <v>3000</v>
      </c>
      <c r="F3394">
        <v>2200</v>
      </c>
      <c r="G3394">
        <v>660</v>
      </c>
      <c r="H3394" s="114">
        <v>103580</v>
      </c>
      <c r="I3394" s="114">
        <v>109540</v>
      </c>
    </row>
    <row r="3395" spans="4:9" ht="14.4" customHeight="1" x14ac:dyDescent="0.3">
      <c r="F3395">
        <v>2400</v>
      </c>
      <c r="G3395">
        <v>660</v>
      </c>
      <c r="H3395" s="114">
        <v>121340</v>
      </c>
      <c r="I3395" s="114">
        <v>128580</v>
      </c>
    </row>
    <row r="3396" spans="4:9" ht="14.4" customHeight="1" x14ac:dyDescent="0.3">
      <c r="D3396" t="s">
        <v>605</v>
      </c>
      <c r="E3396">
        <v>2400</v>
      </c>
      <c r="F3396">
        <v>2200</v>
      </c>
      <c r="G3396">
        <v>660</v>
      </c>
      <c r="H3396" s="114">
        <v>96480</v>
      </c>
      <c r="I3396" s="114">
        <v>101590</v>
      </c>
    </row>
    <row r="3397" spans="4:9" ht="14.4" customHeight="1" x14ac:dyDescent="0.3">
      <c r="F3397">
        <v>2400</v>
      </c>
      <c r="G3397">
        <v>660</v>
      </c>
      <c r="H3397" s="114">
        <v>112470</v>
      </c>
      <c r="I3397" s="114">
        <v>118650</v>
      </c>
    </row>
    <row r="3398" spans="4:9" ht="14.4" customHeight="1" x14ac:dyDescent="0.3">
      <c r="E3398">
        <v>2700</v>
      </c>
      <c r="F3398">
        <v>2200</v>
      </c>
      <c r="G3398">
        <v>660</v>
      </c>
      <c r="H3398" s="114">
        <v>100040</v>
      </c>
      <c r="I3398" s="114">
        <v>105570</v>
      </c>
    </row>
    <row r="3399" spans="4:9" ht="14.4" customHeight="1" x14ac:dyDescent="0.3">
      <c r="F3399">
        <v>2400</v>
      </c>
      <c r="G3399">
        <v>660</v>
      </c>
      <c r="H3399" s="114">
        <v>116030</v>
      </c>
      <c r="I3399" s="114">
        <v>122620</v>
      </c>
    </row>
    <row r="3400" spans="4:9" ht="14.4" customHeight="1" x14ac:dyDescent="0.3">
      <c r="E3400">
        <v>3000</v>
      </c>
      <c r="F3400">
        <v>2200</v>
      </c>
      <c r="G3400">
        <v>660</v>
      </c>
      <c r="H3400" s="114">
        <v>103580</v>
      </c>
      <c r="I3400" s="114">
        <v>109540</v>
      </c>
    </row>
    <row r="3401" spans="4:9" ht="14.4" customHeight="1" x14ac:dyDescent="0.3">
      <c r="F3401">
        <v>2400</v>
      </c>
      <c r="G3401">
        <v>660</v>
      </c>
      <c r="H3401" s="114">
        <v>121340</v>
      </c>
      <c r="I3401" s="114">
        <v>128580</v>
      </c>
    </row>
    <row r="3402" spans="4:9" ht="14.4" customHeight="1" x14ac:dyDescent="0.3">
      <c r="D3402" t="s">
        <v>606</v>
      </c>
      <c r="E3402">
        <v>2400</v>
      </c>
      <c r="F3402">
        <v>2200</v>
      </c>
      <c r="G3402">
        <v>660</v>
      </c>
      <c r="H3402" s="114">
        <v>96480</v>
      </c>
      <c r="I3402" s="114">
        <v>101590</v>
      </c>
    </row>
    <row r="3403" spans="4:9" ht="14.4" customHeight="1" x14ac:dyDescent="0.3">
      <c r="F3403">
        <v>2400</v>
      </c>
      <c r="G3403">
        <v>660</v>
      </c>
      <c r="H3403" s="114">
        <v>112470</v>
      </c>
      <c r="I3403" s="114">
        <v>118650</v>
      </c>
    </row>
    <row r="3404" spans="4:9" ht="14.4" customHeight="1" x14ac:dyDescent="0.3">
      <c r="E3404">
        <v>2700</v>
      </c>
      <c r="F3404">
        <v>2200</v>
      </c>
      <c r="G3404">
        <v>660</v>
      </c>
      <c r="H3404" s="114">
        <v>100040</v>
      </c>
      <c r="I3404" s="114">
        <v>105570</v>
      </c>
    </row>
    <row r="3405" spans="4:9" ht="14.4" customHeight="1" x14ac:dyDescent="0.3">
      <c r="F3405">
        <v>2400</v>
      </c>
      <c r="G3405">
        <v>660</v>
      </c>
      <c r="H3405" s="114">
        <v>116030</v>
      </c>
      <c r="I3405" s="114">
        <v>122620</v>
      </c>
    </row>
    <row r="3406" spans="4:9" ht="14.4" customHeight="1" x14ac:dyDescent="0.3">
      <c r="E3406">
        <v>3000</v>
      </c>
      <c r="F3406">
        <v>2200</v>
      </c>
      <c r="G3406">
        <v>660</v>
      </c>
      <c r="H3406" s="114">
        <v>103580</v>
      </c>
      <c r="I3406" s="114">
        <v>109540</v>
      </c>
    </row>
    <row r="3407" spans="4:9" ht="14.4" customHeight="1" x14ac:dyDescent="0.3">
      <c r="F3407">
        <v>2400</v>
      </c>
      <c r="G3407">
        <v>660</v>
      </c>
      <c r="H3407" s="114">
        <v>121340</v>
      </c>
      <c r="I3407" s="114">
        <v>128580</v>
      </c>
    </row>
    <row r="3408" spans="4:9" ht="14.4" customHeight="1" x14ac:dyDescent="0.3">
      <c r="D3408" t="s">
        <v>607</v>
      </c>
      <c r="E3408">
        <v>2400</v>
      </c>
      <c r="F3408">
        <v>2200</v>
      </c>
      <c r="G3408">
        <v>660</v>
      </c>
      <c r="H3408" s="114">
        <v>79280</v>
      </c>
      <c r="I3408" s="114">
        <v>84390</v>
      </c>
    </row>
    <row r="3409" spans="4:9" ht="14.4" customHeight="1" x14ac:dyDescent="0.3">
      <c r="F3409">
        <v>2400</v>
      </c>
      <c r="G3409">
        <v>660</v>
      </c>
      <c r="H3409" s="114">
        <v>90510</v>
      </c>
      <c r="I3409" s="114">
        <v>96690</v>
      </c>
    </row>
    <row r="3410" spans="4:9" ht="14.4" customHeight="1" x14ac:dyDescent="0.3">
      <c r="E3410">
        <v>2700</v>
      </c>
      <c r="F3410">
        <v>2200</v>
      </c>
      <c r="G3410">
        <v>660</v>
      </c>
      <c r="H3410" s="114">
        <v>82840</v>
      </c>
      <c r="I3410" s="114">
        <v>88370</v>
      </c>
    </row>
    <row r="3411" spans="4:9" ht="14.4" customHeight="1" x14ac:dyDescent="0.3">
      <c r="F3411">
        <v>2400</v>
      </c>
      <c r="G3411">
        <v>660</v>
      </c>
      <c r="H3411" s="114">
        <v>94070</v>
      </c>
      <c r="I3411" s="114">
        <v>100660</v>
      </c>
    </row>
    <row r="3412" spans="4:9" ht="14.4" customHeight="1" x14ac:dyDescent="0.3">
      <c r="E3412">
        <v>3000</v>
      </c>
      <c r="F3412">
        <v>2200</v>
      </c>
      <c r="G3412">
        <v>660</v>
      </c>
      <c r="H3412" s="114">
        <v>86380</v>
      </c>
      <c r="I3412" s="114">
        <v>92340</v>
      </c>
    </row>
    <row r="3413" spans="4:9" ht="14.4" customHeight="1" x14ac:dyDescent="0.3">
      <c r="F3413">
        <v>2400</v>
      </c>
      <c r="G3413">
        <v>660</v>
      </c>
      <c r="H3413" s="114">
        <v>99380</v>
      </c>
      <c r="I3413" s="114">
        <v>106620</v>
      </c>
    </row>
    <row r="3414" spans="4:9" ht="14.4" customHeight="1" x14ac:dyDescent="0.3">
      <c r="D3414" t="s">
        <v>608</v>
      </c>
      <c r="E3414">
        <v>2400</v>
      </c>
      <c r="F3414">
        <v>2200</v>
      </c>
      <c r="G3414">
        <v>660</v>
      </c>
      <c r="H3414" s="114">
        <v>90220</v>
      </c>
      <c r="I3414" s="114">
        <v>95330</v>
      </c>
    </row>
    <row r="3415" spans="4:9" ht="14.4" customHeight="1" x14ac:dyDescent="0.3">
      <c r="F3415">
        <v>2400</v>
      </c>
      <c r="G3415">
        <v>660</v>
      </c>
      <c r="H3415" s="114">
        <v>104110</v>
      </c>
      <c r="I3415" s="114">
        <v>110290</v>
      </c>
    </row>
    <row r="3416" spans="4:9" ht="14.4" customHeight="1" x14ac:dyDescent="0.3">
      <c r="E3416">
        <v>2700</v>
      </c>
      <c r="F3416">
        <v>2200</v>
      </c>
      <c r="G3416">
        <v>660</v>
      </c>
      <c r="H3416" s="114">
        <v>93780</v>
      </c>
      <c r="I3416" s="114">
        <v>99310</v>
      </c>
    </row>
    <row r="3417" spans="4:9" ht="14.4" customHeight="1" x14ac:dyDescent="0.3">
      <c r="F3417">
        <v>2400</v>
      </c>
      <c r="G3417">
        <v>660</v>
      </c>
      <c r="H3417" s="114">
        <v>107670</v>
      </c>
      <c r="I3417" s="114">
        <v>114260</v>
      </c>
    </row>
    <row r="3418" spans="4:9" ht="14.4" customHeight="1" x14ac:dyDescent="0.3">
      <c r="E3418">
        <v>3000</v>
      </c>
      <c r="F3418">
        <v>2200</v>
      </c>
      <c r="G3418">
        <v>660</v>
      </c>
      <c r="H3418" s="114">
        <v>97320</v>
      </c>
      <c r="I3418" s="114">
        <v>103280</v>
      </c>
    </row>
    <row r="3419" spans="4:9" ht="14.4" customHeight="1" x14ac:dyDescent="0.3">
      <c r="F3419">
        <v>2400</v>
      </c>
      <c r="G3419">
        <v>660</v>
      </c>
      <c r="H3419" s="114">
        <v>112980</v>
      </c>
      <c r="I3419" s="114">
        <v>120220</v>
      </c>
    </row>
    <row r="3420" spans="4:9" ht="14.4" customHeight="1" x14ac:dyDescent="0.3">
      <c r="D3420" t="s">
        <v>609</v>
      </c>
      <c r="E3420">
        <v>2400</v>
      </c>
      <c r="F3420">
        <v>2200</v>
      </c>
      <c r="G3420">
        <v>660</v>
      </c>
      <c r="H3420" s="114">
        <v>74900</v>
      </c>
      <c r="I3420" s="114">
        <v>81290</v>
      </c>
    </row>
    <row r="3421" spans="4:9" ht="14.4" customHeight="1" x14ac:dyDescent="0.3">
      <c r="F3421">
        <v>2400</v>
      </c>
      <c r="G3421">
        <v>660</v>
      </c>
      <c r="H3421" s="114">
        <v>87030</v>
      </c>
      <c r="I3421" s="114">
        <v>94490</v>
      </c>
    </row>
    <row r="3422" spans="4:9" ht="14.4" customHeight="1" x14ac:dyDescent="0.3">
      <c r="E3422">
        <v>2700</v>
      </c>
      <c r="F3422">
        <v>2200</v>
      </c>
      <c r="G3422">
        <v>660</v>
      </c>
      <c r="H3422" s="114">
        <v>78460</v>
      </c>
      <c r="I3422" s="114">
        <v>85270</v>
      </c>
    </row>
    <row r="3423" spans="4:9" ht="14.4" customHeight="1" x14ac:dyDescent="0.3">
      <c r="F3423">
        <v>2400</v>
      </c>
      <c r="G3423">
        <v>660</v>
      </c>
      <c r="H3423" s="114">
        <v>90590</v>
      </c>
      <c r="I3423" s="114">
        <v>98460</v>
      </c>
    </row>
    <row r="3424" spans="4:9" ht="14.4" customHeight="1" x14ac:dyDescent="0.3">
      <c r="E3424">
        <v>3000</v>
      </c>
      <c r="F3424">
        <v>2200</v>
      </c>
      <c r="G3424">
        <v>660</v>
      </c>
      <c r="H3424" s="114">
        <v>82000</v>
      </c>
      <c r="I3424" s="114">
        <v>89240</v>
      </c>
    </row>
    <row r="3425" spans="4:9" ht="14.4" customHeight="1" x14ac:dyDescent="0.3">
      <c r="F3425">
        <v>2400</v>
      </c>
      <c r="G3425">
        <v>660</v>
      </c>
      <c r="H3425" s="114">
        <v>95900</v>
      </c>
      <c r="I3425" s="114">
        <v>104420</v>
      </c>
    </row>
    <row r="3426" spans="4:9" ht="14.4" customHeight="1" x14ac:dyDescent="0.3">
      <c r="D3426" t="s">
        <v>610</v>
      </c>
      <c r="E3426">
        <v>2400</v>
      </c>
      <c r="F3426">
        <v>2200</v>
      </c>
      <c r="G3426">
        <v>660</v>
      </c>
      <c r="H3426" s="114">
        <v>107420</v>
      </c>
      <c r="I3426" s="114">
        <v>112530</v>
      </c>
    </row>
    <row r="3427" spans="4:9" ht="14.4" customHeight="1" x14ac:dyDescent="0.3">
      <c r="F3427">
        <v>2400</v>
      </c>
      <c r="G3427">
        <v>660</v>
      </c>
      <c r="H3427" s="114">
        <v>126070</v>
      </c>
      <c r="I3427" s="114">
        <v>132250</v>
      </c>
    </row>
    <row r="3428" spans="4:9" ht="14.4" customHeight="1" x14ac:dyDescent="0.3">
      <c r="E3428">
        <v>2700</v>
      </c>
      <c r="F3428">
        <v>2200</v>
      </c>
      <c r="G3428">
        <v>660</v>
      </c>
      <c r="H3428" s="114">
        <v>110980</v>
      </c>
      <c r="I3428" s="114">
        <v>116510</v>
      </c>
    </row>
    <row r="3429" spans="4:9" ht="14.4" customHeight="1" x14ac:dyDescent="0.3">
      <c r="F3429">
        <v>2400</v>
      </c>
      <c r="G3429">
        <v>660</v>
      </c>
      <c r="H3429" s="114">
        <v>129630</v>
      </c>
      <c r="I3429" s="114">
        <v>136220</v>
      </c>
    </row>
    <row r="3430" spans="4:9" ht="14.4" customHeight="1" x14ac:dyDescent="0.3">
      <c r="E3430">
        <v>3000</v>
      </c>
      <c r="F3430">
        <v>2200</v>
      </c>
      <c r="G3430">
        <v>660</v>
      </c>
      <c r="H3430" s="114">
        <v>114520</v>
      </c>
      <c r="I3430" s="114">
        <v>120480</v>
      </c>
    </row>
    <row r="3431" spans="4:9" ht="14.4" customHeight="1" x14ac:dyDescent="0.3">
      <c r="F3431">
        <v>2400</v>
      </c>
      <c r="G3431">
        <v>660</v>
      </c>
      <c r="H3431" s="114">
        <v>134940</v>
      </c>
      <c r="I3431" s="114">
        <v>142180</v>
      </c>
    </row>
    <row r="3432" spans="4:9" ht="14.4" customHeight="1" x14ac:dyDescent="0.3">
      <c r="D3432" t="s">
        <v>611</v>
      </c>
      <c r="E3432">
        <v>2400</v>
      </c>
      <c r="F3432">
        <v>2200</v>
      </c>
      <c r="G3432">
        <v>660</v>
      </c>
      <c r="H3432" s="114">
        <v>107420</v>
      </c>
      <c r="I3432" s="114">
        <v>112530</v>
      </c>
    </row>
    <row r="3433" spans="4:9" ht="14.4" customHeight="1" x14ac:dyDescent="0.3">
      <c r="F3433">
        <v>2400</v>
      </c>
      <c r="G3433">
        <v>660</v>
      </c>
      <c r="H3433" s="114">
        <v>126070</v>
      </c>
      <c r="I3433" s="114">
        <v>132250</v>
      </c>
    </row>
    <row r="3434" spans="4:9" ht="14.4" customHeight="1" x14ac:dyDescent="0.3">
      <c r="E3434">
        <v>2700</v>
      </c>
      <c r="F3434">
        <v>2200</v>
      </c>
      <c r="G3434">
        <v>660</v>
      </c>
      <c r="H3434" s="114">
        <v>110980</v>
      </c>
      <c r="I3434" s="114">
        <v>116510</v>
      </c>
    </row>
    <row r="3435" spans="4:9" ht="14.4" customHeight="1" x14ac:dyDescent="0.3">
      <c r="F3435">
        <v>2400</v>
      </c>
      <c r="G3435">
        <v>660</v>
      </c>
      <c r="H3435" s="114">
        <v>129630</v>
      </c>
      <c r="I3435" s="114">
        <v>136220</v>
      </c>
    </row>
    <row r="3436" spans="4:9" ht="14.4" customHeight="1" x14ac:dyDescent="0.3">
      <c r="E3436">
        <v>3000</v>
      </c>
      <c r="F3436">
        <v>2200</v>
      </c>
      <c r="G3436">
        <v>660</v>
      </c>
      <c r="H3436" s="114">
        <v>114520</v>
      </c>
      <c r="I3436" s="114">
        <v>120480</v>
      </c>
    </row>
    <row r="3437" spans="4:9" ht="14.4" customHeight="1" x14ac:dyDescent="0.3">
      <c r="F3437">
        <v>2400</v>
      </c>
      <c r="G3437">
        <v>660</v>
      </c>
      <c r="H3437" s="114">
        <v>134940</v>
      </c>
      <c r="I3437" s="114">
        <v>142180</v>
      </c>
    </row>
    <row r="3438" spans="4:9" ht="14.4" customHeight="1" x14ac:dyDescent="0.3">
      <c r="D3438" t="s">
        <v>612</v>
      </c>
      <c r="E3438">
        <v>2400</v>
      </c>
      <c r="F3438">
        <v>2200</v>
      </c>
      <c r="G3438">
        <v>660</v>
      </c>
      <c r="H3438" s="114">
        <v>90220</v>
      </c>
      <c r="I3438" s="114">
        <v>95330</v>
      </c>
    </row>
    <row r="3439" spans="4:9" ht="14.4" customHeight="1" x14ac:dyDescent="0.3">
      <c r="F3439">
        <v>2400</v>
      </c>
      <c r="G3439">
        <v>660</v>
      </c>
      <c r="H3439" s="114">
        <v>104110</v>
      </c>
      <c r="I3439" s="114">
        <v>110290</v>
      </c>
    </row>
    <row r="3440" spans="4:9" ht="14.4" customHeight="1" x14ac:dyDescent="0.3">
      <c r="E3440">
        <v>2700</v>
      </c>
      <c r="F3440">
        <v>2200</v>
      </c>
      <c r="G3440">
        <v>660</v>
      </c>
      <c r="H3440" s="114">
        <v>93780</v>
      </c>
      <c r="I3440" s="114">
        <v>99310</v>
      </c>
    </row>
    <row r="3441" spans="4:9" ht="14.4" customHeight="1" x14ac:dyDescent="0.3">
      <c r="F3441">
        <v>2400</v>
      </c>
      <c r="G3441">
        <v>660</v>
      </c>
      <c r="H3441" s="114">
        <v>107670</v>
      </c>
      <c r="I3441" s="114">
        <v>114260</v>
      </c>
    </row>
    <row r="3442" spans="4:9" ht="14.4" customHeight="1" x14ac:dyDescent="0.3">
      <c r="E3442">
        <v>3000</v>
      </c>
      <c r="F3442">
        <v>2200</v>
      </c>
      <c r="G3442">
        <v>660</v>
      </c>
      <c r="H3442" s="114">
        <v>97320</v>
      </c>
      <c r="I3442" s="114">
        <v>103280</v>
      </c>
    </row>
    <row r="3443" spans="4:9" ht="14.4" customHeight="1" x14ac:dyDescent="0.3">
      <c r="F3443">
        <v>2400</v>
      </c>
      <c r="G3443">
        <v>660</v>
      </c>
      <c r="H3443" s="114">
        <v>112980</v>
      </c>
      <c r="I3443" s="114">
        <v>120220</v>
      </c>
    </row>
    <row r="3444" spans="4:9" ht="14.4" customHeight="1" x14ac:dyDescent="0.3">
      <c r="D3444" t="s">
        <v>613</v>
      </c>
      <c r="E3444">
        <v>2400</v>
      </c>
      <c r="F3444">
        <v>2200</v>
      </c>
      <c r="G3444">
        <v>660</v>
      </c>
      <c r="H3444" s="114">
        <v>91160</v>
      </c>
      <c r="I3444" s="114">
        <v>96910</v>
      </c>
    </row>
    <row r="3445" spans="4:9" ht="14.4" customHeight="1" x14ac:dyDescent="0.3">
      <c r="F3445">
        <v>2400</v>
      </c>
      <c r="G3445">
        <v>660</v>
      </c>
      <c r="H3445" s="114">
        <v>106550</v>
      </c>
      <c r="I3445" s="114">
        <v>113370</v>
      </c>
    </row>
    <row r="3446" spans="4:9" ht="14.4" customHeight="1" x14ac:dyDescent="0.3">
      <c r="E3446">
        <v>2700</v>
      </c>
      <c r="F3446">
        <v>2200</v>
      </c>
      <c r="G3446">
        <v>660</v>
      </c>
      <c r="H3446" s="114">
        <v>94720</v>
      </c>
      <c r="I3446" s="114">
        <v>100890</v>
      </c>
    </row>
    <row r="3447" spans="4:9" ht="14.4" customHeight="1" x14ac:dyDescent="0.3">
      <c r="F3447">
        <v>2400</v>
      </c>
      <c r="G3447">
        <v>660</v>
      </c>
      <c r="H3447" s="114">
        <v>110110</v>
      </c>
      <c r="I3447" s="114">
        <v>117340</v>
      </c>
    </row>
    <row r="3448" spans="4:9" ht="14.4" customHeight="1" x14ac:dyDescent="0.3">
      <c r="E3448">
        <v>3000</v>
      </c>
      <c r="F3448">
        <v>2200</v>
      </c>
      <c r="G3448">
        <v>660</v>
      </c>
      <c r="H3448" s="114">
        <v>98260</v>
      </c>
      <c r="I3448" s="114">
        <v>104860</v>
      </c>
    </row>
    <row r="3449" spans="4:9" ht="14.4" customHeight="1" x14ac:dyDescent="0.3">
      <c r="F3449">
        <v>2400</v>
      </c>
      <c r="G3449">
        <v>660</v>
      </c>
      <c r="H3449" s="114">
        <v>115420</v>
      </c>
      <c r="I3449" s="114">
        <v>123300</v>
      </c>
    </row>
    <row r="3450" spans="4:9" ht="14.4" customHeight="1" x14ac:dyDescent="0.3">
      <c r="D3450" t="s">
        <v>614</v>
      </c>
      <c r="E3450">
        <v>2400</v>
      </c>
      <c r="F3450">
        <v>2200</v>
      </c>
      <c r="G3450">
        <v>660</v>
      </c>
      <c r="H3450" s="114">
        <v>73960</v>
      </c>
      <c r="I3450" s="114">
        <v>79710</v>
      </c>
    </row>
    <row r="3451" spans="4:9" ht="14.4" customHeight="1" x14ac:dyDescent="0.3">
      <c r="F3451">
        <v>2400</v>
      </c>
      <c r="G3451">
        <v>660</v>
      </c>
      <c r="H3451" s="114">
        <v>84590</v>
      </c>
      <c r="I3451" s="114">
        <v>91410</v>
      </c>
    </row>
    <row r="3452" spans="4:9" ht="14.4" customHeight="1" x14ac:dyDescent="0.3">
      <c r="E3452">
        <v>2700</v>
      </c>
      <c r="F3452">
        <v>2200</v>
      </c>
      <c r="G3452">
        <v>660</v>
      </c>
      <c r="H3452" s="114">
        <v>77520</v>
      </c>
      <c r="I3452" s="114">
        <v>83690</v>
      </c>
    </row>
    <row r="3453" spans="4:9" ht="14.4" customHeight="1" x14ac:dyDescent="0.3">
      <c r="F3453">
        <v>2400</v>
      </c>
      <c r="G3453">
        <v>660</v>
      </c>
      <c r="H3453" s="114">
        <v>88150</v>
      </c>
      <c r="I3453" s="114">
        <v>95380</v>
      </c>
    </row>
    <row r="3454" spans="4:9" ht="14.4" customHeight="1" x14ac:dyDescent="0.3">
      <c r="E3454">
        <v>3000</v>
      </c>
      <c r="F3454">
        <v>2200</v>
      </c>
      <c r="G3454">
        <v>660</v>
      </c>
      <c r="H3454" s="114">
        <v>81060</v>
      </c>
      <c r="I3454" s="114">
        <v>87660</v>
      </c>
    </row>
    <row r="3455" spans="4:9" ht="14.4" customHeight="1" x14ac:dyDescent="0.3">
      <c r="F3455">
        <v>2400</v>
      </c>
      <c r="G3455">
        <v>660</v>
      </c>
      <c r="H3455" s="114">
        <v>93460</v>
      </c>
      <c r="I3455" s="114">
        <v>101340</v>
      </c>
    </row>
    <row r="3456" spans="4:9" ht="14.4" customHeight="1" x14ac:dyDescent="0.3">
      <c r="D3456" t="s">
        <v>615</v>
      </c>
      <c r="E3456">
        <v>2400</v>
      </c>
      <c r="F3456">
        <v>2200</v>
      </c>
      <c r="G3456">
        <v>660</v>
      </c>
      <c r="H3456" s="114">
        <v>91160</v>
      </c>
      <c r="I3456" s="114">
        <v>96910</v>
      </c>
    </row>
    <row r="3457" spans="4:9" ht="14.4" customHeight="1" x14ac:dyDescent="0.3">
      <c r="F3457">
        <v>2400</v>
      </c>
      <c r="G3457">
        <v>660</v>
      </c>
      <c r="H3457" s="114">
        <v>106550</v>
      </c>
      <c r="I3457" s="114">
        <v>113370</v>
      </c>
    </row>
    <row r="3458" spans="4:9" ht="14.4" customHeight="1" x14ac:dyDescent="0.3">
      <c r="E3458">
        <v>2700</v>
      </c>
      <c r="F3458">
        <v>2200</v>
      </c>
      <c r="G3458">
        <v>660</v>
      </c>
      <c r="H3458" s="114">
        <v>94720</v>
      </c>
      <c r="I3458" s="114">
        <v>100890</v>
      </c>
    </row>
    <row r="3459" spans="4:9" ht="14.4" customHeight="1" x14ac:dyDescent="0.3">
      <c r="F3459">
        <v>2400</v>
      </c>
      <c r="G3459">
        <v>660</v>
      </c>
      <c r="H3459" s="114">
        <v>110110</v>
      </c>
      <c r="I3459" s="114">
        <v>117340</v>
      </c>
    </row>
    <row r="3460" spans="4:9" ht="14.4" customHeight="1" x14ac:dyDescent="0.3">
      <c r="E3460">
        <v>3000</v>
      </c>
      <c r="F3460">
        <v>2200</v>
      </c>
      <c r="G3460">
        <v>660</v>
      </c>
      <c r="H3460" s="114">
        <v>98260</v>
      </c>
      <c r="I3460" s="114">
        <v>104860</v>
      </c>
    </row>
    <row r="3461" spans="4:9" ht="14.4" customHeight="1" x14ac:dyDescent="0.3">
      <c r="F3461">
        <v>2400</v>
      </c>
      <c r="G3461">
        <v>660</v>
      </c>
      <c r="H3461" s="114">
        <v>115420</v>
      </c>
      <c r="I3461" s="114">
        <v>123300</v>
      </c>
    </row>
    <row r="3462" spans="4:9" ht="14.4" customHeight="1" x14ac:dyDescent="0.3">
      <c r="D3462" t="s">
        <v>616</v>
      </c>
      <c r="E3462">
        <v>2400</v>
      </c>
      <c r="F3462">
        <v>2200</v>
      </c>
      <c r="G3462">
        <v>660</v>
      </c>
      <c r="H3462" s="114">
        <v>69280</v>
      </c>
      <c r="I3462" s="114">
        <v>75030</v>
      </c>
    </row>
    <row r="3463" spans="4:9" ht="14.4" customHeight="1" x14ac:dyDescent="0.3">
      <c r="F3463">
        <v>2400</v>
      </c>
      <c r="G3463">
        <v>660</v>
      </c>
      <c r="H3463" s="114">
        <v>79350</v>
      </c>
      <c r="I3463" s="114">
        <v>86170</v>
      </c>
    </row>
    <row r="3464" spans="4:9" ht="14.4" customHeight="1" x14ac:dyDescent="0.3">
      <c r="E3464">
        <v>2700</v>
      </c>
      <c r="F3464">
        <v>2200</v>
      </c>
      <c r="G3464">
        <v>660</v>
      </c>
      <c r="H3464" s="114">
        <v>72840</v>
      </c>
      <c r="I3464" s="114">
        <v>79010</v>
      </c>
    </row>
    <row r="3465" spans="4:9" ht="14.4" customHeight="1" x14ac:dyDescent="0.3">
      <c r="F3465">
        <v>2400</v>
      </c>
      <c r="G3465">
        <v>660</v>
      </c>
      <c r="H3465" s="114">
        <v>82910</v>
      </c>
      <c r="I3465" s="114">
        <v>90140</v>
      </c>
    </row>
    <row r="3466" spans="4:9" ht="14.4" customHeight="1" x14ac:dyDescent="0.3">
      <c r="E3466">
        <v>3000</v>
      </c>
      <c r="F3466">
        <v>2200</v>
      </c>
      <c r="G3466">
        <v>660</v>
      </c>
      <c r="H3466" s="114">
        <v>76380</v>
      </c>
      <c r="I3466" s="114">
        <v>82980</v>
      </c>
    </row>
    <row r="3467" spans="4:9" ht="14.4" customHeight="1" x14ac:dyDescent="0.3">
      <c r="F3467">
        <v>2400</v>
      </c>
      <c r="G3467">
        <v>660</v>
      </c>
      <c r="H3467" s="114">
        <v>88220</v>
      </c>
      <c r="I3467" s="114">
        <v>96100</v>
      </c>
    </row>
    <row r="3468" spans="4:9" ht="14.4" customHeight="1" x14ac:dyDescent="0.3">
      <c r="D3468" t="s">
        <v>617</v>
      </c>
      <c r="E3468">
        <v>2400</v>
      </c>
      <c r="F3468">
        <v>2200</v>
      </c>
      <c r="G3468">
        <v>660</v>
      </c>
      <c r="H3468" s="114">
        <v>91160</v>
      </c>
      <c r="I3468" s="114">
        <v>96910</v>
      </c>
    </row>
    <row r="3469" spans="4:9" ht="14.4" customHeight="1" x14ac:dyDescent="0.3">
      <c r="F3469">
        <v>2400</v>
      </c>
      <c r="G3469">
        <v>660</v>
      </c>
      <c r="H3469" s="114">
        <v>106550</v>
      </c>
      <c r="I3469" s="114">
        <v>113370</v>
      </c>
    </row>
    <row r="3470" spans="4:9" ht="14.4" customHeight="1" x14ac:dyDescent="0.3">
      <c r="E3470">
        <v>2700</v>
      </c>
      <c r="F3470">
        <v>2200</v>
      </c>
      <c r="G3470">
        <v>660</v>
      </c>
      <c r="H3470" s="114">
        <v>94720</v>
      </c>
      <c r="I3470" s="114">
        <v>100890</v>
      </c>
    </row>
    <row r="3471" spans="4:9" ht="14.4" customHeight="1" x14ac:dyDescent="0.3">
      <c r="F3471">
        <v>2400</v>
      </c>
      <c r="G3471">
        <v>660</v>
      </c>
      <c r="H3471" s="114">
        <v>110110</v>
      </c>
      <c r="I3471" s="114">
        <v>117340</v>
      </c>
    </row>
    <row r="3472" spans="4:9" ht="14.4" customHeight="1" x14ac:dyDescent="0.3">
      <c r="E3472">
        <v>3000</v>
      </c>
      <c r="F3472">
        <v>2200</v>
      </c>
      <c r="G3472">
        <v>660</v>
      </c>
      <c r="H3472" s="114">
        <v>98260</v>
      </c>
      <c r="I3472" s="114">
        <v>104860</v>
      </c>
    </row>
    <row r="3473" spans="4:9" ht="14.4" customHeight="1" x14ac:dyDescent="0.3">
      <c r="F3473">
        <v>2400</v>
      </c>
      <c r="G3473">
        <v>660</v>
      </c>
      <c r="H3473" s="114">
        <v>115420</v>
      </c>
      <c r="I3473" s="114">
        <v>123300</v>
      </c>
    </row>
    <row r="3474" spans="4:9" ht="14.4" customHeight="1" x14ac:dyDescent="0.3">
      <c r="D3474" t="s">
        <v>618</v>
      </c>
      <c r="E3474">
        <v>2400</v>
      </c>
      <c r="F3474">
        <v>2200</v>
      </c>
      <c r="G3474">
        <v>660</v>
      </c>
      <c r="H3474" s="114">
        <v>91160</v>
      </c>
      <c r="I3474" s="114">
        <v>96910</v>
      </c>
    </row>
    <row r="3475" spans="4:9" ht="14.4" customHeight="1" x14ac:dyDescent="0.3">
      <c r="F3475">
        <v>2400</v>
      </c>
      <c r="G3475">
        <v>660</v>
      </c>
      <c r="H3475" s="114">
        <v>106550</v>
      </c>
      <c r="I3475" s="114">
        <v>113370</v>
      </c>
    </row>
    <row r="3476" spans="4:9" ht="14.4" customHeight="1" x14ac:dyDescent="0.3">
      <c r="E3476">
        <v>2700</v>
      </c>
      <c r="F3476">
        <v>2200</v>
      </c>
      <c r="G3476">
        <v>660</v>
      </c>
      <c r="H3476" s="114">
        <v>94720</v>
      </c>
      <c r="I3476" s="114">
        <v>100890</v>
      </c>
    </row>
    <row r="3477" spans="4:9" ht="14.4" customHeight="1" x14ac:dyDescent="0.3">
      <c r="F3477">
        <v>2400</v>
      </c>
      <c r="G3477">
        <v>660</v>
      </c>
      <c r="H3477" s="114">
        <v>110110</v>
      </c>
      <c r="I3477" s="114">
        <v>117340</v>
      </c>
    </row>
    <row r="3478" spans="4:9" ht="14.4" customHeight="1" x14ac:dyDescent="0.3">
      <c r="E3478">
        <v>3000</v>
      </c>
      <c r="F3478">
        <v>2200</v>
      </c>
      <c r="G3478">
        <v>660</v>
      </c>
      <c r="H3478" s="114">
        <v>98260</v>
      </c>
      <c r="I3478" s="114">
        <v>104860</v>
      </c>
    </row>
    <row r="3479" spans="4:9" ht="14.4" customHeight="1" x14ac:dyDescent="0.3">
      <c r="F3479">
        <v>2400</v>
      </c>
      <c r="G3479">
        <v>660</v>
      </c>
      <c r="H3479" s="114">
        <v>115420</v>
      </c>
      <c r="I3479" s="114">
        <v>123300</v>
      </c>
    </row>
    <row r="3480" spans="4:9" ht="14.4" customHeight="1" x14ac:dyDescent="0.3">
      <c r="D3480" t="s">
        <v>619</v>
      </c>
      <c r="E3480">
        <v>2400</v>
      </c>
      <c r="F3480">
        <v>2200</v>
      </c>
      <c r="G3480">
        <v>660</v>
      </c>
      <c r="H3480" s="114">
        <v>91160</v>
      </c>
      <c r="I3480" s="114">
        <v>96910</v>
      </c>
    </row>
    <row r="3481" spans="4:9" ht="14.4" customHeight="1" x14ac:dyDescent="0.3">
      <c r="F3481">
        <v>2400</v>
      </c>
      <c r="G3481">
        <v>660</v>
      </c>
      <c r="H3481" s="114">
        <v>106550</v>
      </c>
      <c r="I3481" s="114">
        <v>113370</v>
      </c>
    </row>
    <row r="3482" spans="4:9" ht="14.4" customHeight="1" x14ac:dyDescent="0.3">
      <c r="E3482">
        <v>2700</v>
      </c>
      <c r="F3482">
        <v>2200</v>
      </c>
      <c r="G3482">
        <v>660</v>
      </c>
      <c r="H3482" s="114">
        <v>94720</v>
      </c>
      <c r="I3482" s="114">
        <v>100890</v>
      </c>
    </row>
    <row r="3483" spans="4:9" ht="14.4" customHeight="1" x14ac:dyDescent="0.3">
      <c r="F3483">
        <v>2400</v>
      </c>
      <c r="G3483">
        <v>660</v>
      </c>
      <c r="H3483" s="114">
        <v>110110</v>
      </c>
      <c r="I3483" s="114">
        <v>117340</v>
      </c>
    </row>
    <row r="3484" spans="4:9" ht="14.4" customHeight="1" x14ac:dyDescent="0.3">
      <c r="E3484">
        <v>3000</v>
      </c>
      <c r="F3484">
        <v>2200</v>
      </c>
      <c r="G3484">
        <v>660</v>
      </c>
      <c r="H3484" s="114">
        <v>98260</v>
      </c>
      <c r="I3484" s="114">
        <v>104860</v>
      </c>
    </row>
    <row r="3485" spans="4:9" ht="14.4" customHeight="1" x14ac:dyDescent="0.3">
      <c r="F3485">
        <v>2400</v>
      </c>
      <c r="G3485">
        <v>660</v>
      </c>
      <c r="H3485" s="114">
        <v>115420</v>
      </c>
      <c r="I3485" s="114">
        <v>123300</v>
      </c>
    </row>
    <row r="3486" spans="4:9" ht="14.4" customHeight="1" x14ac:dyDescent="0.3">
      <c r="D3486" t="s">
        <v>620</v>
      </c>
      <c r="E3486">
        <v>2400</v>
      </c>
      <c r="F3486">
        <v>2200</v>
      </c>
      <c r="G3486">
        <v>660</v>
      </c>
      <c r="H3486" s="114">
        <v>91160</v>
      </c>
      <c r="I3486" s="114">
        <v>96910</v>
      </c>
    </row>
    <row r="3487" spans="4:9" ht="14.4" customHeight="1" x14ac:dyDescent="0.3">
      <c r="F3487">
        <v>2400</v>
      </c>
      <c r="G3487">
        <v>660</v>
      </c>
      <c r="H3487" s="114">
        <v>106550</v>
      </c>
      <c r="I3487" s="114">
        <v>113370</v>
      </c>
    </row>
    <row r="3488" spans="4:9" ht="14.4" customHeight="1" x14ac:dyDescent="0.3">
      <c r="E3488">
        <v>2700</v>
      </c>
      <c r="F3488">
        <v>2200</v>
      </c>
      <c r="G3488">
        <v>660</v>
      </c>
      <c r="H3488" s="114">
        <v>94720</v>
      </c>
      <c r="I3488" s="114">
        <v>100890</v>
      </c>
    </row>
    <row r="3489" spans="4:9" ht="14.4" customHeight="1" x14ac:dyDescent="0.3">
      <c r="F3489">
        <v>2400</v>
      </c>
      <c r="G3489">
        <v>660</v>
      </c>
      <c r="H3489" s="114">
        <v>110110</v>
      </c>
      <c r="I3489" s="114">
        <v>117340</v>
      </c>
    </row>
    <row r="3490" spans="4:9" ht="14.4" customHeight="1" x14ac:dyDescent="0.3">
      <c r="E3490">
        <v>3000</v>
      </c>
      <c r="F3490">
        <v>2200</v>
      </c>
      <c r="G3490">
        <v>660</v>
      </c>
      <c r="H3490" s="114">
        <v>98260</v>
      </c>
      <c r="I3490" s="114">
        <v>104860</v>
      </c>
    </row>
    <row r="3491" spans="4:9" ht="14.4" customHeight="1" x14ac:dyDescent="0.3">
      <c r="F3491">
        <v>2400</v>
      </c>
      <c r="G3491">
        <v>660</v>
      </c>
      <c r="H3491" s="114">
        <v>115420</v>
      </c>
      <c r="I3491" s="114">
        <v>123300</v>
      </c>
    </row>
    <row r="3492" spans="4:9" ht="14.4" customHeight="1" x14ac:dyDescent="0.3">
      <c r="D3492" t="s">
        <v>621</v>
      </c>
      <c r="E3492">
        <v>2400</v>
      </c>
      <c r="F3492">
        <v>2200</v>
      </c>
      <c r="G3492">
        <v>660</v>
      </c>
      <c r="H3492" s="114">
        <v>73960</v>
      </c>
      <c r="I3492" s="114">
        <v>79710</v>
      </c>
    </row>
    <row r="3493" spans="4:9" ht="14.4" customHeight="1" x14ac:dyDescent="0.3">
      <c r="F3493">
        <v>2400</v>
      </c>
      <c r="G3493">
        <v>660</v>
      </c>
      <c r="H3493" s="114">
        <v>84590</v>
      </c>
      <c r="I3493" s="114">
        <v>91410</v>
      </c>
    </row>
    <row r="3494" spans="4:9" ht="14.4" customHeight="1" x14ac:dyDescent="0.3">
      <c r="E3494">
        <v>2700</v>
      </c>
      <c r="F3494">
        <v>2200</v>
      </c>
      <c r="G3494">
        <v>660</v>
      </c>
      <c r="H3494" s="114">
        <v>77520</v>
      </c>
      <c r="I3494" s="114">
        <v>83690</v>
      </c>
    </row>
    <row r="3495" spans="4:9" ht="14.4" customHeight="1" x14ac:dyDescent="0.3">
      <c r="F3495">
        <v>2400</v>
      </c>
      <c r="G3495">
        <v>660</v>
      </c>
      <c r="H3495" s="114">
        <v>88150</v>
      </c>
      <c r="I3495" s="114">
        <v>95380</v>
      </c>
    </row>
    <row r="3496" spans="4:9" ht="14.4" customHeight="1" x14ac:dyDescent="0.3">
      <c r="E3496">
        <v>3000</v>
      </c>
      <c r="F3496">
        <v>2200</v>
      </c>
      <c r="G3496">
        <v>660</v>
      </c>
      <c r="H3496" s="114">
        <v>81060</v>
      </c>
      <c r="I3496" s="114">
        <v>87660</v>
      </c>
    </row>
    <row r="3497" spans="4:9" ht="14.4" customHeight="1" x14ac:dyDescent="0.3">
      <c r="F3497">
        <v>2400</v>
      </c>
      <c r="G3497">
        <v>660</v>
      </c>
      <c r="H3497" s="114">
        <v>93460</v>
      </c>
      <c r="I3497" s="114">
        <v>101340</v>
      </c>
    </row>
    <row r="3498" spans="4:9" ht="14.4" customHeight="1" x14ac:dyDescent="0.3">
      <c r="D3498" t="s">
        <v>622</v>
      </c>
      <c r="E3498">
        <v>2400</v>
      </c>
      <c r="F3498">
        <v>2200</v>
      </c>
      <c r="G3498">
        <v>660</v>
      </c>
      <c r="H3498" s="114">
        <v>90220</v>
      </c>
      <c r="I3498" s="114">
        <v>95330</v>
      </c>
    </row>
    <row r="3499" spans="4:9" ht="14.4" customHeight="1" x14ac:dyDescent="0.3">
      <c r="F3499">
        <v>2400</v>
      </c>
      <c r="G3499">
        <v>660</v>
      </c>
      <c r="H3499" s="114">
        <v>104110</v>
      </c>
      <c r="I3499" s="114">
        <v>110290</v>
      </c>
    </row>
    <row r="3500" spans="4:9" ht="14.4" customHeight="1" x14ac:dyDescent="0.3">
      <c r="E3500">
        <v>2700</v>
      </c>
      <c r="F3500">
        <v>2200</v>
      </c>
      <c r="G3500">
        <v>660</v>
      </c>
      <c r="H3500" s="114">
        <v>93780</v>
      </c>
      <c r="I3500" s="114">
        <v>99310</v>
      </c>
    </row>
    <row r="3501" spans="4:9" ht="14.4" customHeight="1" x14ac:dyDescent="0.3">
      <c r="F3501">
        <v>2400</v>
      </c>
      <c r="G3501">
        <v>660</v>
      </c>
      <c r="H3501" s="114">
        <v>107670</v>
      </c>
      <c r="I3501" s="114">
        <v>114260</v>
      </c>
    </row>
    <row r="3502" spans="4:9" ht="14.4" customHeight="1" x14ac:dyDescent="0.3">
      <c r="E3502">
        <v>3000</v>
      </c>
      <c r="F3502">
        <v>2200</v>
      </c>
      <c r="G3502">
        <v>660</v>
      </c>
      <c r="H3502" s="114">
        <v>97320</v>
      </c>
      <c r="I3502" s="114">
        <v>103280</v>
      </c>
    </row>
    <row r="3503" spans="4:9" ht="14.4" customHeight="1" x14ac:dyDescent="0.3">
      <c r="F3503">
        <v>2400</v>
      </c>
      <c r="G3503">
        <v>660</v>
      </c>
      <c r="H3503" s="114">
        <v>112980</v>
      </c>
      <c r="I3503" s="114">
        <v>120220</v>
      </c>
    </row>
    <row r="3504" spans="4:9" ht="14.4" customHeight="1" x14ac:dyDescent="0.3">
      <c r="D3504" t="s">
        <v>623</v>
      </c>
      <c r="E3504">
        <v>2400</v>
      </c>
      <c r="F3504">
        <v>2200</v>
      </c>
      <c r="G3504">
        <v>660</v>
      </c>
      <c r="H3504" s="114">
        <v>107420</v>
      </c>
      <c r="I3504" s="114">
        <v>112530</v>
      </c>
    </row>
    <row r="3505" spans="4:9" ht="14.4" customHeight="1" x14ac:dyDescent="0.3">
      <c r="F3505">
        <v>2400</v>
      </c>
      <c r="G3505">
        <v>660</v>
      </c>
      <c r="H3505" s="114">
        <v>126070</v>
      </c>
      <c r="I3505" s="114">
        <v>132250</v>
      </c>
    </row>
    <row r="3506" spans="4:9" ht="14.4" customHeight="1" x14ac:dyDescent="0.3">
      <c r="E3506">
        <v>2700</v>
      </c>
      <c r="F3506">
        <v>2200</v>
      </c>
      <c r="G3506">
        <v>660</v>
      </c>
      <c r="H3506" s="114">
        <v>110980</v>
      </c>
      <c r="I3506" s="114">
        <v>116510</v>
      </c>
    </row>
    <row r="3507" spans="4:9" ht="14.4" customHeight="1" x14ac:dyDescent="0.3">
      <c r="F3507">
        <v>2400</v>
      </c>
      <c r="G3507">
        <v>660</v>
      </c>
      <c r="H3507" s="114">
        <v>129630</v>
      </c>
      <c r="I3507" s="114">
        <v>136220</v>
      </c>
    </row>
    <row r="3508" spans="4:9" ht="14.4" customHeight="1" x14ac:dyDescent="0.3">
      <c r="E3508">
        <v>3000</v>
      </c>
      <c r="F3508">
        <v>2200</v>
      </c>
      <c r="G3508">
        <v>660</v>
      </c>
      <c r="H3508" s="114">
        <v>114520</v>
      </c>
      <c r="I3508" s="114">
        <v>120480</v>
      </c>
    </row>
    <row r="3509" spans="4:9" ht="14.4" customHeight="1" x14ac:dyDescent="0.3">
      <c r="F3509">
        <v>2400</v>
      </c>
      <c r="G3509">
        <v>660</v>
      </c>
      <c r="H3509" s="114">
        <v>134940</v>
      </c>
      <c r="I3509" s="114">
        <v>142180</v>
      </c>
    </row>
    <row r="3510" spans="4:9" ht="14.4" customHeight="1" x14ac:dyDescent="0.3">
      <c r="D3510" t="s">
        <v>624</v>
      </c>
      <c r="E3510">
        <v>2400</v>
      </c>
      <c r="F3510">
        <v>2200</v>
      </c>
      <c r="G3510">
        <v>660</v>
      </c>
      <c r="H3510" s="114">
        <v>85540</v>
      </c>
      <c r="I3510" s="114">
        <v>90650</v>
      </c>
    </row>
    <row r="3511" spans="4:9" ht="14.4" customHeight="1" x14ac:dyDescent="0.3">
      <c r="F3511">
        <v>2400</v>
      </c>
      <c r="G3511">
        <v>660</v>
      </c>
      <c r="H3511" s="114">
        <v>98870</v>
      </c>
      <c r="I3511" s="114">
        <v>105050</v>
      </c>
    </row>
    <row r="3512" spans="4:9" ht="14.4" customHeight="1" x14ac:dyDescent="0.3">
      <c r="E3512">
        <v>2700</v>
      </c>
      <c r="F3512">
        <v>2200</v>
      </c>
      <c r="G3512">
        <v>660</v>
      </c>
      <c r="H3512" s="114">
        <v>89100</v>
      </c>
      <c r="I3512" s="114">
        <v>94630</v>
      </c>
    </row>
    <row r="3513" spans="4:9" ht="14.4" customHeight="1" x14ac:dyDescent="0.3">
      <c r="F3513">
        <v>2400</v>
      </c>
      <c r="G3513">
        <v>660</v>
      </c>
      <c r="H3513" s="114">
        <v>102430</v>
      </c>
      <c r="I3513" s="114">
        <v>109020</v>
      </c>
    </row>
    <row r="3514" spans="4:9" ht="14.4" customHeight="1" x14ac:dyDescent="0.3">
      <c r="E3514">
        <v>3000</v>
      </c>
      <c r="F3514">
        <v>2200</v>
      </c>
      <c r="G3514">
        <v>660</v>
      </c>
      <c r="H3514" s="114">
        <v>92640</v>
      </c>
      <c r="I3514" s="114">
        <v>98600</v>
      </c>
    </row>
    <row r="3515" spans="4:9" ht="14.4" customHeight="1" x14ac:dyDescent="0.3">
      <c r="F3515">
        <v>2400</v>
      </c>
      <c r="G3515">
        <v>660</v>
      </c>
      <c r="H3515" s="114">
        <v>107740</v>
      </c>
      <c r="I3515" s="114">
        <v>114980</v>
      </c>
    </row>
    <row r="3516" spans="4:9" ht="14.4" customHeight="1" x14ac:dyDescent="0.3">
      <c r="D3516" t="s">
        <v>625</v>
      </c>
      <c r="E3516">
        <v>2400</v>
      </c>
      <c r="F3516">
        <v>2200</v>
      </c>
      <c r="G3516">
        <v>660</v>
      </c>
      <c r="H3516" s="114">
        <v>85540</v>
      </c>
      <c r="I3516" s="114">
        <v>90650</v>
      </c>
    </row>
    <row r="3517" spans="4:9" ht="14.4" customHeight="1" x14ac:dyDescent="0.3">
      <c r="F3517">
        <v>2400</v>
      </c>
      <c r="G3517">
        <v>660</v>
      </c>
      <c r="H3517" s="114">
        <v>98870</v>
      </c>
      <c r="I3517" s="114">
        <v>105050</v>
      </c>
    </row>
    <row r="3518" spans="4:9" ht="14.4" customHeight="1" x14ac:dyDescent="0.3">
      <c r="E3518">
        <v>2700</v>
      </c>
      <c r="F3518">
        <v>2200</v>
      </c>
      <c r="G3518">
        <v>660</v>
      </c>
      <c r="H3518" s="114">
        <v>89100</v>
      </c>
      <c r="I3518" s="114">
        <v>94630</v>
      </c>
    </row>
    <row r="3519" spans="4:9" ht="14.4" customHeight="1" x14ac:dyDescent="0.3">
      <c r="F3519">
        <v>2400</v>
      </c>
      <c r="G3519">
        <v>660</v>
      </c>
      <c r="H3519" s="114">
        <v>102430</v>
      </c>
      <c r="I3519" s="114">
        <v>109020</v>
      </c>
    </row>
    <row r="3520" spans="4:9" ht="14.4" customHeight="1" x14ac:dyDescent="0.3">
      <c r="E3520">
        <v>3000</v>
      </c>
      <c r="F3520">
        <v>2200</v>
      </c>
      <c r="G3520">
        <v>660</v>
      </c>
      <c r="H3520" s="114">
        <v>92640</v>
      </c>
      <c r="I3520" s="114">
        <v>98600</v>
      </c>
    </row>
    <row r="3521" spans="4:9" ht="14.4" customHeight="1" x14ac:dyDescent="0.3">
      <c r="F3521">
        <v>2400</v>
      </c>
      <c r="G3521">
        <v>660</v>
      </c>
      <c r="H3521" s="114">
        <v>107740</v>
      </c>
      <c r="I3521" s="114">
        <v>114980</v>
      </c>
    </row>
    <row r="3522" spans="4:9" ht="14.4" customHeight="1" x14ac:dyDescent="0.3">
      <c r="D3522" t="s">
        <v>626</v>
      </c>
      <c r="E3522">
        <v>2400</v>
      </c>
      <c r="F3522">
        <v>2200</v>
      </c>
      <c r="G3522">
        <v>660</v>
      </c>
      <c r="H3522" s="114">
        <v>74900</v>
      </c>
      <c r="I3522" s="114">
        <v>81290</v>
      </c>
    </row>
    <row r="3523" spans="4:9" ht="14.4" customHeight="1" x14ac:dyDescent="0.3">
      <c r="F3523">
        <v>2400</v>
      </c>
      <c r="G3523">
        <v>660</v>
      </c>
      <c r="H3523" s="114">
        <v>87030</v>
      </c>
      <c r="I3523" s="114">
        <v>94490</v>
      </c>
    </row>
    <row r="3524" spans="4:9" ht="14.4" customHeight="1" x14ac:dyDescent="0.3">
      <c r="E3524">
        <v>2700</v>
      </c>
      <c r="F3524">
        <v>2200</v>
      </c>
      <c r="G3524">
        <v>660</v>
      </c>
      <c r="H3524" s="114">
        <v>78460</v>
      </c>
      <c r="I3524" s="114">
        <v>85270</v>
      </c>
    </row>
    <row r="3525" spans="4:9" ht="14.4" customHeight="1" x14ac:dyDescent="0.3">
      <c r="F3525">
        <v>2400</v>
      </c>
      <c r="G3525">
        <v>660</v>
      </c>
      <c r="H3525" s="114">
        <v>90590</v>
      </c>
      <c r="I3525" s="114">
        <v>98460</v>
      </c>
    </row>
    <row r="3526" spans="4:9" ht="14.4" customHeight="1" x14ac:dyDescent="0.3">
      <c r="E3526">
        <v>3000</v>
      </c>
      <c r="F3526">
        <v>2200</v>
      </c>
      <c r="G3526">
        <v>660</v>
      </c>
      <c r="H3526" s="114">
        <v>82000</v>
      </c>
      <c r="I3526" s="114">
        <v>89240</v>
      </c>
    </row>
    <row r="3527" spans="4:9" ht="14.4" customHeight="1" x14ac:dyDescent="0.3">
      <c r="F3527">
        <v>2400</v>
      </c>
      <c r="G3527">
        <v>660</v>
      </c>
      <c r="H3527" s="114">
        <v>95900</v>
      </c>
      <c r="I3527" s="114">
        <v>104420</v>
      </c>
    </row>
    <row r="3528" spans="4:9" ht="14.4" customHeight="1" x14ac:dyDescent="0.3">
      <c r="D3528" t="s">
        <v>627</v>
      </c>
      <c r="E3528">
        <v>2400</v>
      </c>
      <c r="F3528">
        <v>2200</v>
      </c>
      <c r="G3528">
        <v>660</v>
      </c>
      <c r="H3528" s="114">
        <v>107420</v>
      </c>
      <c r="I3528" s="114">
        <v>112530</v>
      </c>
    </row>
    <row r="3529" spans="4:9" ht="14.4" customHeight="1" x14ac:dyDescent="0.3">
      <c r="F3529">
        <v>2400</v>
      </c>
      <c r="G3529">
        <v>660</v>
      </c>
      <c r="H3529" s="114">
        <v>126070</v>
      </c>
      <c r="I3529" s="114">
        <v>132250</v>
      </c>
    </row>
    <row r="3530" spans="4:9" ht="14.4" customHeight="1" x14ac:dyDescent="0.3">
      <c r="E3530">
        <v>2700</v>
      </c>
      <c r="F3530">
        <v>2200</v>
      </c>
      <c r="G3530">
        <v>660</v>
      </c>
      <c r="H3530" s="114">
        <v>110980</v>
      </c>
      <c r="I3530" s="114">
        <v>116510</v>
      </c>
    </row>
    <row r="3531" spans="4:9" ht="14.4" customHeight="1" x14ac:dyDescent="0.3">
      <c r="F3531">
        <v>2400</v>
      </c>
      <c r="G3531">
        <v>660</v>
      </c>
      <c r="H3531" s="114">
        <v>129630</v>
      </c>
      <c r="I3531" s="114">
        <v>136220</v>
      </c>
    </row>
    <row r="3532" spans="4:9" ht="14.4" customHeight="1" x14ac:dyDescent="0.3">
      <c r="E3532">
        <v>3000</v>
      </c>
      <c r="F3532">
        <v>2200</v>
      </c>
      <c r="G3532">
        <v>660</v>
      </c>
      <c r="H3532" s="114">
        <v>114520</v>
      </c>
      <c r="I3532" s="114">
        <v>120480</v>
      </c>
    </row>
    <row r="3533" spans="4:9" ht="14.4" customHeight="1" x14ac:dyDescent="0.3">
      <c r="F3533">
        <v>2400</v>
      </c>
      <c r="G3533">
        <v>660</v>
      </c>
      <c r="H3533" s="114">
        <v>134940</v>
      </c>
      <c r="I3533" s="114">
        <v>142180</v>
      </c>
    </row>
    <row r="3534" spans="4:9" ht="14.4" customHeight="1" x14ac:dyDescent="0.3">
      <c r="D3534" t="s">
        <v>628</v>
      </c>
      <c r="E3534">
        <v>2400</v>
      </c>
      <c r="F3534">
        <v>2200</v>
      </c>
      <c r="G3534">
        <v>660</v>
      </c>
      <c r="H3534" s="114">
        <v>107420</v>
      </c>
      <c r="I3534" s="114">
        <v>112530</v>
      </c>
    </row>
    <row r="3535" spans="4:9" ht="14.4" customHeight="1" x14ac:dyDescent="0.3">
      <c r="F3535">
        <v>2400</v>
      </c>
      <c r="G3535">
        <v>660</v>
      </c>
      <c r="H3535" s="114">
        <v>126070</v>
      </c>
      <c r="I3535" s="114">
        <v>132250</v>
      </c>
    </row>
    <row r="3536" spans="4:9" ht="14.4" customHeight="1" x14ac:dyDescent="0.3">
      <c r="E3536">
        <v>2700</v>
      </c>
      <c r="F3536">
        <v>2200</v>
      </c>
      <c r="G3536">
        <v>660</v>
      </c>
      <c r="H3536" s="114">
        <v>110980</v>
      </c>
      <c r="I3536" s="114">
        <v>116510</v>
      </c>
    </row>
    <row r="3537" spans="4:9" ht="14.4" customHeight="1" x14ac:dyDescent="0.3">
      <c r="F3537">
        <v>2400</v>
      </c>
      <c r="G3537">
        <v>660</v>
      </c>
      <c r="H3537" s="114">
        <v>129630</v>
      </c>
      <c r="I3537" s="114">
        <v>136220</v>
      </c>
    </row>
    <row r="3538" spans="4:9" ht="14.4" customHeight="1" x14ac:dyDescent="0.3">
      <c r="E3538">
        <v>3000</v>
      </c>
      <c r="F3538">
        <v>2200</v>
      </c>
      <c r="G3538">
        <v>660</v>
      </c>
      <c r="H3538" s="114">
        <v>114520</v>
      </c>
      <c r="I3538" s="114">
        <v>120480</v>
      </c>
    </row>
    <row r="3539" spans="4:9" ht="14.4" customHeight="1" x14ac:dyDescent="0.3">
      <c r="F3539">
        <v>2400</v>
      </c>
      <c r="G3539">
        <v>660</v>
      </c>
      <c r="H3539" s="114">
        <v>134940</v>
      </c>
      <c r="I3539" s="114">
        <v>142180</v>
      </c>
    </row>
    <row r="3540" spans="4:9" ht="14.4" customHeight="1" x14ac:dyDescent="0.3">
      <c r="D3540" t="s">
        <v>629</v>
      </c>
      <c r="E3540">
        <v>2400</v>
      </c>
      <c r="F3540">
        <v>2200</v>
      </c>
      <c r="G3540">
        <v>660</v>
      </c>
      <c r="H3540" s="114">
        <v>74900</v>
      </c>
      <c r="I3540" s="114">
        <v>81290</v>
      </c>
    </row>
    <row r="3541" spans="4:9" ht="14.4" customHeight="1" x14ac:dyDescent="0.3">
      <c r="F3541">
        <v>2400</v>
      </c>
      <c r="G3541">
        <v>660</v>
      </c>
      <c r="H3541" s="114">
        <v>87030</v>
      </c>
      <c r="I3541" s="114">
        <v>94490</v>
      </c>
    </row>
    <row r="3542" spans="4:9" ht="14.4" customHeight="1" x14ac:dyDescent="0.3">
      <c r="E3542">
        <v>2700</v>
      </c>
      <c r="F3542">
        <v>2200</v>
      </c>
      <c r="G3542">
        <v>660</v>
      </c>
      <c r="H3542" s="114">
        <v>78460</v>
      </c>
      <c r="I3542" s="114">
        <v>85270</v>
      </c>
    </row>
    <row r="3543" spans="4:9" ht="14.4" customHeight="1" x14ac:dyDescent="0.3">
      <c r="F3543">
        <v>2400</v>
      </c>
      <c r="G3543">
        <v>660</v>
      </c>
      <c r="H3543" s="114">
        <v>90590</v>
      </c>
      <c r="I3543" s="114">
        <v>98460</v>
      </c>
    </row>
    <row r="3544" spans="4:9" ht="14.4" customHeight="1" x14ac:dyDescent="0.3">
      <c r="E3544">
        <v>3000</v>
      </c>
      <c r="F3544">
        <v>2200</v>
      </c>
      <c r="G3544">
        <v>660</v>
      </c>
      <c r="H3544" s="114">
        <v>82000</v>
      </c>
      <c r="I3544" s="114">
        <v>89240</v>
      </c>
    </row>
    <row r="3545" spans="4:9" ht="14.4" customHeight="1" x14ac:dyDescent="0.3">
      <c r="F3545">
        <v>2400</v>
      </c>
      <c r="G3545">
        <v>660</v>
      </c>
      <c r="H3545" s="114">
        <v>95900</v>
      </c>
      <c r="I3545" s="114">
        <v>104420</v>
      </c>
    </row>
    <row r="3546" spans="4:9" ht="14.4" customHeight="1" x14ac:dyDescent="0.3">
      <c r="D3546" t="s">
        <v>630</v>
      </c>
      <c r="E3546">
        <v>2400</v>
      </c>
      <c r="F3546">
        <v>2200</v>
      </c>
      <c r="G3546">
        <v>660</v>
      </c>
      <c r="H3546" s="114">
        <v>107420</v>
      </c>
      <c r="I3546" s="114">
        <v>112530</v>
      </c>
    </row>
    <row r="3547" spans="4:9" ht="14.4" customHeight="1" x14ac:dyDescent="0.3">
      <c r="F3547">
        <v>2400</v>
      </c>
      <c r="G3547">
        <v>660</v>
      </c>
      <c r="H3547" s="114">
        <v>126070</v>
      </c>
      <c r="I3547" s="114">
        <v>132250</v>
      </c>
    </row>
    <row r="3548" spans="4:9" ht="14.4" customHeight="1" x14ac:dyDescent="0.3">
      <c r="E3548">
        <v>2700</v>
      </c>
      <c r="F3548">
        <v>2200</v>
      </c>
      <c r="G3548">
        <v>660</v>
      </c>
      <c r="H3548" s="114">
        <v>110980</v>
      </c>
      <c r="I3548" s="114">
        <v>116510</v>
      </c>
    </row>
    <row r="3549" spans="4:9" ht="14.4" customHeight="1" x14ac:dyDescent="0.3">
      <c r="F3549">
        <v>2400</v>
      </c>
      <c r="G3549">
        <v>660</v>
      </c>
      <c r="H3549" s="114">
        <v>129630</v>
      </c>
      <c r="I3549" s="114">
        <v>136220</v>
      </c>
    </row>
    <row r="3550" spans="4:9" ht="14.4" customHeight="1" x14ac:dyDescent="0.3">
      <c r="E3550">
        <v>3000</v>
      </c>
      <c r="F3550">
        <v>2200</v>
      </c>
      <c r="G3550">
        <v>660</v>
      </c>
      <c r="H3550" s="114">
        <v>114520</v>
      </c>
      <c r="I3550" s="114">
        <v>120480</v>
      </c>
    </row>
    <row r="3551" spans="4:9" ht="14.4" customHeight="1" x14ac:dyDescent="0.3">
      <c r="F3551">
        <v>2400</v>
      </c>
      <c r="G3551">
        <v>660</v>
      </c>
      <c r="H3551" s="114">
        <v>134940</v>
      </c>
      <c r="I3551" s="114">
        <v>142180</v>
      </c>
    </row>
    <row r="3552" spans="4:9" ht="14.4" customHeight="1" x14ac:dyDescent="0.3">
      <c r="D3552" t="s">
        <v>631</v>
      </c>
      <c r="E3552">
        <v>2400</v>
      </c>
      <c r="F3552">
        <v>2200</v>
      </c>
      <c r="G3552">
        <v>660</v>
      </c>
      <c r="H3552" s="114">
        <v>74900</v>
      </c>
      <c r="I3552" s="114">
        <v>81290</v>
      </c>
    </row>
    <row r="3553" spans="4:9" ht="14.4" customHeight="1" x14ac:dyDescent="0.3">
      <c r="F3553">
        <v>2400</v>
      </c>
      <c r="G3553">
        <v>660</v>
      </c>
      <c r="H3553" s="114">
        <v>87030</v>
      </c>
      <c r="I3553" s="114">
        <v>94490</v>
      </c>
    </row>
    <row r="3554" spans="4:9" ht="14.4" customHeight="1" x14ac:dyDescent="0.3">
      <c r="E3554">
        <v>2700</v>
      </c>
      <c r="F3554">
        <v>2200</v>
      </c>
      <c r="G3554">
        <v>660</v>
      </c>
      <c r="H3554" s="114">
        <v>78460</v>
      </c>
      <c r="I3554" s="114">
        <v>85270</v>
      </c>
    </row>
    <row r="3555" spans="4:9" ht="14.4" customHeight="1" x14ac:dyDescent="0.3">
      <c r="F3555">
        <v>2400</v>
      </c>
      <c r="G3555">
        <v>660</v>
      </c>
      <c r="H3555" s="114">
        <v>90590</v>
      </c>
      <c r="I3555" s="114">
        <v>98460</v>
      </c>
    </row>
    <row r="3556" spans="4:9" ht="14.4" customHeight="1" x14ac:dyDescent="0.3">
      <c r="E3556">
        <v>3000</v>
      </c>
      <c r="F3556">
        <v>2200</v>
      </c>
      <c r="G3556">
        <v>660</v>
      </c>
      <c r="H3556" s="114">
        <v>82000</v>
      </c>
      <c r="I3556" s="114">
        <v>89240</v>
      </c>
    </row>
    <row r="3557" spans="4:9" ht="14.4" customHeight="1" x14ac:dyDescent="0.3">
      <c r="F3557">
        <v>2400</v>
      </c>
      <c r="G3557">
        <v>660</v>
      </c>
      <c r="H3557" s="114">
        <v>95900</v>
      </c>
      <c r="I3557" s="114">
        <v>104420</v>
      </c>
    </row>
    <row r="3558" spans="4:9" ht="14.4" customHeight="1" x14ac:dyDescent="0.3">
      <c r="D3558" t="s">
        <v>632</v>
      </c>
      <c r="E3558">
        <v>2400</v>
      </c>
      <c r="F3558">
        <v>2200</v>
      </c>
      <c r="G3558">
        <v>660</v>
      </c>
      <c r="H3558" s="114">
        <v>98820</v>
      </c>
      <c r="I3558" s="114">
        <v>103930</v>
      </c>
    </row>
    <row r="3559" spans="4:9" ht="14.4" customHeight="1" x14ac:dyDescent="0.3">
      <c r="F3559">
        <v>2400</v>
      </c>
      <c r="G3559">
        <v>660</v>
      </c>
      <c r="H3559" s="114">
        <v>115090</v>
      </c>
      <c r="I3559" s="114">
        <v>121270</v>
      </c>
    </row>
    <row r="3560" spans="4:9" ht="14.4" customHeight="1" x14ac:dyDescent="0.3">
      <c r="E3560">
        <v>2700</v>
      </c>
      <c r="F3560">
        <v>2200</v>
      </c>
      <c r="G3560">
        <v>660</v>
      </c>
      <c r="H3560" s="114">
        <v>102380</v>
      </c>
      <c r="I3560" s="114">
        <v>107910</v>
      </c>
    </row>
    <row r="3561" spans="4:9" ht="14.4" customHeight="1" x14ac:dyDescent="0.3">
      <c r="F3561">
        <v>2400</v>
      </c>
      <c r="G3561">
        <v>660</v>
      </c>
      <c r="H3561" s="114">
        <v>118650</v>
      </c>
      <c r="I3561" s="114">
        <v>125240</v>
      </c>
    </row>
    <row r="3562" spans="4:9" ht="14.4" customHeight="1" x14ac:dyDescent="0.3">
      <c r="E3562">
        <v>3000</v>
      </c>
      <c r="F3562">
        <v>2200</v>
      </c>
      <c r="G3562">
        <v>660</v>
      </c>
      <c r="H3562" s="114">
        <v>105920</v>
      </c>
      <c r="I3562" s="114">
        <v>111880</v>
      </c>
    </row>
    <row r="3563" spans="4:9" ht="14.4" customHeight="1" x14ac:dyDescent="0.3">
      <c r="F3563">
        <v>2400</v>
      </c>
      <c r="G3563">
        <v>660</v>
      </c>
      <c r="H3563" s="114">
        <v>123960</v>
      </c>
      <c r="I3563" s="114">
        <v>131200</v>
      </c>
    </row>
    <row r="3564" spans="4:9" ht="14.4" customHeight="1" x14ac:dyDescent="0.3">
      <c r="D3564" t="s">
        <v>633</v>
      </c>
      <c r="E3564">
        <v>2400</v>
      </c>
      <c r="F3564">
        <v>2200</v>
      </c>
      <c r="G3564">
        <v>660</v>
      </c>
      <c r="H3564" s="114">
        <v>81620</v>
      </c>
      <c r="I3564" s="114">
        <v>86730</v>
      </c>
    </row>
    <row r="3565" spans="4:9" ht="14.4" customHeight="1" x14ac:dyDescent="0.3">
      <c r="F3565">
        <v>2400</v>
      </c>
      <c r="G3565">
        <v>660</v>
      </c>
      <c r="H3565" s="114">
        <v>93130</v>
      </c>
      <c r="I3565" s="114">
        <v>99310</v>
      </c>
    </row>
    <row r="3566" spans="4:9" ht="14.4" customHeight="1" x14ac:dyDescent="0.3">
      <c r="E3566">
        <v>2700</v>
      </c>
      <c r="F3566">
        <v>2200</v>
      </c>
      <c r="G3566">
        <v>660</v>
      </c>
      <c r="H3566" s="114">
        <v>85180</v>
      </c>
      <c r="I3566" s="114">
        <v>90710</v>
      </c>
    </row>
    <row r="3567" spans="4:9" ht="14.4" customHeight="1" x14ac:dyDescent="0.3">
      <c r="F3567">
        <v>2400</v>
      </c>
      <c r="G3567">
        <v>660</v>
      </c>
      <c r="H3567" s="114">
        <v>96690</v>
      </c>
      <c r="I3567" s="114">
        <v>103280</v>
      </c>
    </row>
    <row r="3568" spans="4:9" ht="14.4" customHeight="1" x14ac:dyDescent="0.3">
      <c r="E3568">
        <v>3000</v>
      </c>
      <c r="F3568">
        <v>2200</v>
      </c>
      <c r="G3568">
        <v>660</v>
      </c>
      <c r="H3568" s="114">
        <v>88720</v>
      </c>
      <c r="I3568" s="114">
        <v>94680</v>
      </c>
    </row>
    <row r="3569" spans="4:9" ht="14.4" customHeight="1" x14ac:dyDescent="0.3">
      <c r="F3569">
        <v>2400</v>
      </c>
      <c r="G3569">
        <v>660</v>
      </c>
      <c r="H3569" s="114">
        <v>102000</v>
      </c>
      <c r="I3569" s="114">
        <v>109240</v>
      </c>
    </row>
    <row r="3570" spans="4:9" ht="14.4" customHeight="1" x14ac:dyDescent="0.3">
      <c r="D3570" t="s">
        <v>634</v>
      </c>
      <c r="E3570">
        <v>2400</v>
      </c>
      <c r="F3570">
        <v>2200</v>
      </c>
      <c r="G3570">
        <v>660</v>
      </c>
      <c r="H3570" s="114">
        <v>98820</v>
      </c>
      <c r="I3570" s="114">
        <v>103930</v>
      </c>
    </row>
    <row r="3571" spans="4:9" ht="14.4" customHeight="1" x14ac:dyDescent="0.3">
      <c r="F3571">
        <v>2400</v>
      </c>
      <c r="G3571">
        <v>660</v>
      </c>
      <c r="H3571" s="114">
        <v>115090</v>
      </c>
      <c r="I3571" s="114">
        <v>121270</v>
      </c>
    </row>
    <row r="3572" spans="4:9" ht="14.4" customHeight="1" x14ac:dyDescent="0.3">
      <c r="E3572">
        <v>2700</v>
      </c>
      <c r="F3572">
        <v>2200</v>
      </c>
      <c r="G3572">
        <v>660</v>
      </c>
      <c r="H3572" s="114">
        <v>102380</v>
      </c>
      <c r="I3572" s="114">
        <v>107910</v>
      </c>
    </row>
    <row r="3573" spans="4:9" ht="14.4" customHeight="1" x14ac:dyDescent="0.3">
      <c r="F3573">
        <v>2400</v>
      </c>
      <c r="G3573">
        <v>660</v>
      </c>
      <c r="H3573" s="114">
        <v>118650</v>
      </c>
      <c r="I3573" s="114">
        <v>125240</v>
      </c>
    </row>
    <row r="3574" spans="4:9" ht="14.4" customHeight="1" x14ac:dyDescent="0.3">
      <c r="E3574">
        <v>3000</v>
      </c>
      <c r="F3574">
        <v>2200</v>
      </c>
      <c r="G3574">
        <v>660</v>
      </c>
      <c r="H3574" s="114">
        <v>105920</v>
      </c>
      <c r="I3574" s="114">
        <v>111880</v>
      </c>
    </row>
    <row r="3575" spans="4:9" ht="14.4" customHeight="1" x14ac:dyDescent="0.3">
      <c r="F3575">
        <v>2400</v>
      </c>
      <c r="G3575">
        <v>660</v>
      </c>
      <c r="H3575" s="114">
        <v>123960</v>
      </c>
      <c r="I3575" s="114">
        <v>131200</v>
      </c>
    </row>
    <row r="3576" spans="4:9" ht="14.4" customHeight="1" x14ac:dyDescent="0.3">
      <c r="D3576" t="s">
        <v>635</v>
      </c>
      <c r="E3576">
        <v>2400</v>
      </c>
      <c r="F3576">
        <v>2200</v>
      </c>
      <c r="G3576">
        <v>660</v>
      </c>
      <c r="H3576" s="114">
        <v>76940</v>
      </c>
      <c r="I3576" s="114">
        <v>82050</v>
      </c>
    </row>
    <row r="3577" spans="4:9" ht="14.4" customHeight="1" x14ac:dyDescent="0.3">
      <c r="F3577">
        <v>2400</v>
      </c>
      <c r="G3577">
        <v>660</v>
      </c>
      <c r="H3577" s="114">
        <v>87890</v>
      </c>
      <c r="I3577" s="114">
        <v>94070</v>
      </c>
    </row>
    <row r="3578" spans="4:9" ht="14.4" customHeight="1" x14ac:dyDescent="0.3">
      <c r="E3578">
        <v>2700</v>
      </c>
      <c r="F3578">
        <v>2200</v>
      </c>
      <c r="G3578">
        <v>660</v>
      </c>
      <c r="H3578" s="114">
        <v>80500</v>
      </c>
      <c r="I3578" s="114">
        <v>86030</v>
      </c>
    </row>
    <row r="3579" spans="4:9" ht="14.4" customHeight="1" x14ac:dyDescent="0.3">
      <c r="F3579">
        <v>2400</v>
      </c>
      <c r="G3579">
        <v>660</v>
      </c>
      <c r="H3579" s="114">
        <v>91450</v>
      </c>
      <c r="I3579" s="114">
        <v>98040</v>
      </c>
    </row>
    <row r="3580" spans="4:9" ht="14.4" customHeight="1" x14ac:dyDescent="0.3">
      <c r="E3580">
        <v>3000</v>
      </c>
      <c r="F3580">
        <v>2200</v>
      </c>
      <c r="G3580">
        <v>660</v>
      </c>
      <c r="H3580" s="114">
        <v>84040</v>
      </c>
      <c r="I3580" s="114">
        <v>90000</v>
      </c>
    </row>
    <row r="3581" spans="4:9" ht="14.4" customHeight="1" x14ac:dyDescent="0.3">
      <c r="F3581">
        <v>2400</v>
      </c>
      <c r="G3581">
        <v>660</v>
      </c>
      <c r="H3581" s="114">
        <v>96760</v>
      </c>
      <c r="I3581" s="114">
        <v>104000</v>
      </c>
    </row>
    <row r="3582" spans="4:9" ht="14.4" customHeight="1" x14ac:dyDescent="0.3">
      <c r="D3582" t="s">
        <v>636</v>
      </c>
      <c r="E3582">
        <v>2400</v>
      </c>
      <c r="F3582">
        <v>2200</v>
      </c>
      <c r="G3582">
        <v>660</v>
      </c>
      <c r="H3582" s="114">
        <v>66300</v>
      </c>
      <c r="I3582" s="114">
        <v>72690</v>
      </c>
    </row>
    <row r="3583" spans="4:9" ht="14.4" customHeight="1" x14ac:dyDescent="0.3">
      <c r="F3583">
        <v>2400</v>
      </c>
      <c r="G3583">
        <v>660</v>
      </c>
      <c r="H3583" s="114">
        <v>76050</v>
      </c>
      <c r="I3583" s="114">
        <v>83510</v>
      </c>
    </row>
    <row r="3584" spans="4:9" ht="14.4" customHeight="1" x14ac:dyDescent="0.3">
      <c r="E3584">
        <v>2700</v>
      </c>
      <c r="F3584">
        <v>2200</v>
      </c>
      <c r="G3584">
        <v>660</v>
      </c>
      <c r="H3584" s="114">
        <v>69860</v>
      </c>
      <c r="I3584" s="114">
        <v>76670</v>
      </c>
    </row>
    <row r="3585" spans="4:9" ht="14.4" customHeight="1" x14ac:dyDescent="0.3">
      <c r="F3585">
        <v>2400</v>
      </c>
      <c r="G3585">
        <v>660</v>
      </c>
      <c r="H3585" s="114">
        <v>79610</v>
      </c>
      <c r="I3585" s="114">
        <v>87480</v>
      </c>
    </row>
    <row r="3586" spans="4:9" ht="14.4" customHeight="1" x14ac:dyDescent="0.3">
      <c r="E3586">
        <v>3000</v>
      </c>
      <c r="F3586">
        <v>2200</v>
      </c>
      <c r="G3586">
        <v>660</v>
      </c>
      <c r="H3586" s="114">
        <v>73400</v>
      </c>
      <c r="I3586" s="114">
        <v>80640</v>
      </c>
    </row>
    <row r="3587" spans="4:9" ht="14.4" customHeight="1" x14ac:dyDescent="0.3">
      <c r="F3587">
        <v>2400</v>
      </c>
      <c r="G3587">
        <v>660</v>
      </c>
      <c r="H3587" s="114">
        <v>84920</v>
      </c>
      <c r="I3587" s="114">
        <v>93440</v>
      </c>
    </row>
    <row r="3588" spans="4:9" ht="14.4" customHeight="1" x14ac:dyDescent="0.3">
      <c r="D3588" t="s">
        <v>637</v>
      </c>
      <c r="E3588">
        <v>2400</v>
      </c>
      <c r="F3588">
        <v>2200</v>
      </c>
      <c r="G3588">
        <v>660</v>
      </c>
      <c r="H3588" s="114">
        <v>98820</v>
      </c>
      <c r="I3588" s="114">
        <v>103930</v>
      </c>
    </row>
    <row r="3589" spans="4:9" ht="14.4" customHeight="1" x14ac:dyDescent="0.3">
      <c r="F3589">
        <v>2400</v>
      </c>
      <c r="G3589">
        <v>660</v>
      </c>
      <c r="H3589" s="114">
        <v>115090</v>
      </c>
      <c r="I3589" s="114">
        <v>121270</v>
      </c>
    </row>
    <row r="3590" spans="4:9" ht="14.4" customHeight="1" x14ac:dyDescent="0.3">
      <c r="E3590">
        <v>2700</v>
      </c>
      <c r="F3590">
        <v>2200</v>
      </c>
      <c r="G3590">
        <v>660</v>
      </c>
      <c r="H3590" s="114">
        <v>102380</v>
      </c>
      <c r="I3590" s="114">
        <v>107910</v>
      </c>
    </row>
    <row r="3591" spans="4:9" ht="14.4" customHeight="1" x14ac:dyDescent="0.3">
      <c r="F3591">
        <v>2400</v>
      </c>
      <c r="G3591">
        <v>660</v>
      </c>
      <c r="H3591" s="114">
        <v>118650</v>
      </c>
      <c r="I3591" s="114">
        <v>125240</v>
      </c>
    </row>
    <row r="3592" spans="4:9" ht="14.4" customHeight="1" x14ac:dyDescent="0.3">
      <c r="E3592">
        <v>3000</v>
      </c>
      <c r="F3592">
        <v>2200</v>
      </c>
      <c r="G3592">
        <v>660</v>
      </c>
      <c r="H3592" s="114">
        <v>105920</v>
      </c>
      <c r="I3592" s="114">
        <v>111880</v>
      </c>
    </row>
    <row r="3593" spans="4:9" ht="14.4" customHeight="1" x14ac:dyDescent="0.3">
      <c r="F3593">
        <v>2400</v>
      </c>
      <c r="G3593">
        <v>660</v>
      </c>
      <c r="H3593" s="114">
        <v>123960</v>
      </c>
      <c r="I3593" s="114">
        <v>131200</v>
      </c>
    </row>
    <row r="3594" spans="4:9" ht="14.4" customHeight="1" x14ac:dyDescent="0.3">
      <c r="D3594" t="s">
        <v>638</v>
      </c>
      <c r="E3594">
        <v>2400</v>
      </c>
      <c r="F3594">
        <v>2200</v>
      </c>
      <c r="G3594">
        <v>660</v>
      </c>
      <c r="H3594" s="114">
        <v>98820</v>
      </c>
      <c r="I3594" s="114">
        <v>103930</v>
      </c>
    </row>
    <row r="3595" spans="4:9" ht="14.4" customHeight="1" x14ac:dyDescent="0.3">
      <c r="F3595">
        <v>2400</v>
      </c>
      <c r="G3595">
        <v>660</v>
      </c>
      <c r="H3595" s="114">
        <v>115090</v>
      </c>
      <c r="I3595" s="114">
        <v>121270</v>
      </c>
    </row>
    <row r="3596" spans="4:9" ht="14.4" customHeight="1" x14ac:dyDescent="0.3">
      <c r="E3596">
        <v>2700</v>
      </c>
      <c r="F3596">
        <v>2200</v>
      </c>
      <c r="G3596">
        <v>660</v>
      </c>
      <c r="H3596" s="114">
        <v>102380</v>
      </c>
      <c r="I3596" s="114">
        <v>107910</v>
      </c>
    </row>
    <row r="3597" spans="4:9" ht="14.4" customHeight="1" x14ac:dyDescent="0.3">
      <c r="F3597">
        <v>2400</v>
      </c>
      <c r="G3597">
        <v>660</v>
      </c>
      <c r="H3597" s="114">
        <v>118650</v>
      </c>
      <c r="I3597" s="114">
        <v>125240</v>
      </c>
    </row>
    <row r="3598" spans="4:9" ht="14.4" customHeight="1" x14ac:dyDescent="0.3">
      <c r="E3598">
        <v>3000</v>
      </c>
      <c r="F3598">
        <v>2200</v>
      </c>
      <c r="G3598">
        <v>660</v>
      </c>
      <c r="H3598" s="114">
        <v>105920</v>
      </c>
      <c r="I3598" s="114">
        <v>111880</v>
      </c>
    </row>
    <row r="3599" spans="4:9" ht="14.4" customHeight="1" x14ac:dyDescent="0.3">
      <c r="F3599">
        <v>2400</v>
      </c>
      <c r="G3599">
        <v>660</v>
      </c>
      <c r="H3599" s="114">
        <v>123960</v>
      </c>
      <c r="I3599" s="114">
        <v>131200</v>
      </c>
    </row>
    <row r="3600" spans="4:9" ht="14.4" customHeight="1" x14ac:dyDescent="0.3">
      <c r="D3600" t="s">
        <v>639</v>
      </c>
      <c r="E3600">
        <v>2400</v>
      </c>
      <c r="F3600">
        <v>2200</v>
      </c>
      <c r="G3600">
        <v>660</v>
      </c>
      <c r="H3600" s="114">
        <v>98820</v>
      </c>
      <c r="I3600" s="114">
        <v>103930</v>
      </c>
    </row>
    <row r="3601" spans="4:9" ht="14.4" customHeight="1" x14ac:dyDescent="0.3">
      <c r="F3601">
        <v>2400</v>
      </c>
      <c r="G3601">
        <v>660</v>
      </c>
      <c r="H3601" s="114">
        <v>115090</v>
      </c>
      <c r="I3601" s="114">
        <v>121270</v>
      </c>
    </row>
    <row r="3602" spans="4:9" ht="14.4" customHeight="1" x14ac:dyDescent="0.3">
      <c r="E3602">
        <v>2700</v>
      </c>
      <c r="F3602">
        <v>2200</v>
      </c>
      <c r="G3602">
        <v>660</v>
      </c>
      <c r="H3602" s="114">
        <v>102380</v>
      </c>
      <c r="I3602" s="114">
        <v>107910</v>
      </c>
    </row>
    <row r="3603" spans="4:9" ht="14.4" customHeight="1" x14ac:dyDescent="0.3">
      <c r="F3603">
        <v>2400</v>
      </c>
      <c r="G3603">
        <v>660</v>
      </c>
      <c r="H3603" s="114">
        <v>118650</v>
      </c>
      <c r="I3603" s="114">
        <v>125240</v>
      </c>
    </row>
    <row r="3604" spans="4:9" ht="14.4" customHeight="1" x14ac:dyDescent="0.3">
      <c r="E3604">
        <v>3000</v>
      </c>
      <c r="F3604">
        <v>2200</v>
      </c>
      <c r="G3604">
        <v>660</v>
      </c>
      <c r="H3604" s="114">
        <v>105920</v>
      </c>
      <c r="I3604" s="114">
        <v>111880</v>
      </c>
    </row>
    <row r="3605" spans="4:9" ht="14.4" customHeight="1" x14ac:dyDescent="0.3">
      <c r="F3605">
        <v>2400</v>
      </c>
      <c r="G3605">
        <v>660</v>
      </c>
      <c r="H3605" s="114">
        <v>123960</v>
      </c>
      <c r="I3605" s="114">
        <v>131200</v>
      </c>
    </row>
    <row r="3606" spans="4:9" ht="14.4" customHeight="1" x14ac:dyDescent="0.3">
      <c r="D3606" t="s">
        <v>640</v>
      </c>
      <c r="E3606">
        <v>2400</v>
      </c>
      <c r="F3606">
        <v>2200</v>
      </c>
      <c r="G3606">
        <v>660</v>
      </c>
      <c r="H3606" s="114">
        <v>107420</v>
      </c>
      <c r="I3606" s="114">
        <v>112530</v>
      </c>
    </row>
    <row r="3607" spans="4:9" ht="14.4" customHeight="1" x14ac:dyDescent="0.3">
      <c r="F3607">
        <v>2400</v>
      </c>
      <c r="G3607">
        <v>660</v>
      </c>
      <c r="H3607" s="114">
        <v>126070</v>
      </c>
      <c r="I3607" s="114">
        <v>132250</v>
      </c>
    </row>
    <row r="3608" spans="4:9" ht="14.4" customHeight="1" x14ac:dyDescent="0.3">
      <c r="E3608">
        <v>2700</v>
      </c>
      <c r="F3608">
        <v>2200</v>
      </c>
      <c r="G3608">
        <v>660</v>
      </c>
      <c r="H3608" s="114">
        <v>110980</v>
      </c>
      <c r="I3608" s="114">
        <v>116510</v>
      </c>
    </row>
    <row r="3609" spans="4:9" ht="14.4" customHeight="1" x14ac:dyDescent="0.3">
      <c r="F3609">
        <v>2400</v>
      </c>
      <c r="G3609">
        <v>660</v>
      </c>
      <c r="H3609" s="114">
        <v>129630</v>
      </c>
      <c r="I3609" s="114">
        <v>136220</v>
      </c>
    </row>
    <row r="3610" spans="4:9" ht="14.4" customHeight="1" x14ac:dyDescent="0.3">
      <c r="E3610">
        <v>3000</v>
      </c>
      <c r="F3610">
        <v>2200</v>
      </c>
      <c r="G3610">
        <v>660</v>
      </c>
      <c r="H3610" s="114">
        <v>114520</v>
      </c>
      <c r="I3610" s="114">
        <v>120480</v>
      </c>
    </row>
    <row r="3611" spans="4:9" ht="14.4" customHeight="1" x14ac:dyDescent="0.3">
      <c r="F3611">
        <v>2400</v>
      </c>
      <c r="G3611">
        <v>660</v>
      </c>
      <c r="H3611" s="114">
        <v>134940</v>
      </c>
      <c r="I3611" s="114">
        <v>142180</v>
      </c>
    </row>
    <row r="3612" spans="4:9" ht="14.4" customHeight="1" x14ac:dyDescent="0.3">
      <c r="D3612" t="s">
        <v>641</v>
      </c>
      <c r="E3612">
        <v>2400</v>
      </c>
      <c r="F3612">
        <v>2200</v>
      </c>
      <c r="G3612">
        <v>660</v>
      </c>
      <c r="H3612" s="114">
        <v>85540</v>
      </c>
      <c r="I3612" s="114">
        <v>90650</v>
      </c>
    </row>
    <row r="3613" spans="4:9" ht="14.4" customHeight="1" x14ac:dyDescent="0.3">
      <c r="F3613">
        <v>2400</v>
      </c>
      <c r="G3613">
        <v>660</v>
      </c>
      <c r="H3613" s="114">
        <v>98870</v>
      </c>
      <c r="I3613" s="114">
        <v>105050</v>
      </c>
    </row>
    <row r="3614" spans="4:9" ht="14.4" customHeight="1" x14ac:dyDescent="0.3">
      <c r="E3614">
        <v>2700</v>
      </c>
      <c r="F3614">
        <v>2200</v>
      </c>
      <c r="G3614">
        <v>660</v>
      </c>
      <c r="H3614" s="114">
        <v>89100</v>
      </c>
      <c r="I3614" s="114">
        <v>94630</v>
      </c>
    </row>
    <row r="3615" spans="4:9" ht="14.4" customHeight="1" x14ac:dyDescent="0.3">
      <c r="F3615">
        <v>2400</v>
      </c>
      <c r="G3615">
        <v>660</v>
      </c>
      <c r="H3615" s="114">
        <v>102430</v>
      </c>
      <c r="I3615" s="114">
        <v>109020</v>
      </c>
    </row>
    <row r="3616" spans="4:9" ht="14.4" customHeight="1" x14ac:dyDescent="0.3">
      <c r="E3616">
        <v>3000</v>
      </c>
      <c r="F3616">
        <v>2200</v>
      </c>
      <c r="G3616">
        <v>660</v>
      </c>
      <c r="H3616" s="114">
        <v>92640</v>
      </c>
      <c r="I3616" s="114">
        <v>98600</v>
      </c>
    </row>
    <row r="3617" spans="4:9" ht="14.4" customHeight="1" x14ac:dyDescent="0.3">
      <c r="F3617">
        <v>2400</v>
      </c>
      <c r="G3617">
        <v>660</v>
      </c>
      <c r="H3617" s="114">
        <v>107740</v>
      </c>
      <c r="I3617" s="114">
        <v>114980</v>
      </c>
    </row>
    <row r="3618" spans="4:9" ht="14.4" customHeight="1" x14ac:dyDescent="0.3">
      <c r="D3618" t="s">
        <v>642</v>
      </c>
      <c r="E3618">
        <v>2400</v>
      </c>
      <c r="F3618">
        <v>2200</v>
      </c>
      <c r="G3618">
        <v>660</v>
      </c>
      <c r="H3618" s="114">
        <v>85540</v>
      </c>
      <c r="I3618" s="114">
        <v>90650</v>
      </c>
    </row>
    <row r="3619" spans="4:9" ht="14.4" customHeight="1" x14ac:dyDescent="0.3">
      <c r="F3619">
        <v>2400</v>
      </c>
      <c r="G3619">
        <v>660</v>
      </c>
      <c r="H3619" s="114">
        <v>98870</v>
      </c>
      <c r="I3619" s="114">
        <v>105050</v>
      </c>
    </row>
    <row r="3620" spans="4:9" ht="14.4" customHeight="1" x14ac:dyDescent="0.3">
      <c r="E3620">
        <v>2700</v>
      </c>
      <c r="F3620">
        <v>2200</v>
      </c>
      <c r="G3620">
        <v>660</v>
      </c>
      <c r="H3620" s="114">
        <v>89100</v>
      </c>
      <c r="I3620" s="114">
        <v>94630</v>
      </c>
    </row>
    <row r="3621" spans="4:9" ht="14.4" customHeight="1" x14ac:dyDescent="0.3">
      <c r="F3621">
        <v>2400</v>
      </c>
      <c r="G3621">
        <v>660</v>
      </c>
      <c r="H3621" s="114">
        <v>102430</v>
      </c>
      <c r="I3621" s="114">
        <v>109020</v>
      </c>
    </row>
    <row r="3622" spans="4:9" ht="14.4" customHeight="1" x14ac:dyDescent="0.3">
      <c r="E3622">
        <v>3000</v>
      </c>
      <c r="F3622">
        <v>2200</v>
      </c>
      <c r="G3622">
        <v>660</v>
      </c>
      <c r="H3622" s="114">
        <v>92640</v>
      </c>
      <c r="I3622" s="114">
        <v>98600</v>
      </c>
    </row>
    <row r="3623" spans="4:9" ht="14.4" customHeight="1" x14ac:dyDescent="0.3">
      <c r="F3623">
        <v>2400</v>
      </c>
      <c r="G3623">
        <v>660</v>
      </c>
      <c r="H3623" s="114">
        <v>107740</v>
      </c>
      <c r="I3623" s="114">
        <v>114980</v>
      </c>
    </row>
    <row r="3624" spans="4:9" ht="14.4" customHeight="1" x14ac:dyDescent="0.3">
      <c r="D3624" t="s">
        <v>643</v>
      </c>
      <c r="E3624">
        <v>2400</v>
      </c>
      <c r="F3624">
        <v>2200</v>
      </c>
      <c r="G3624">
        <v>660</v>
      </c>
      <c r="H3624" s="114">
        <v>74900</v>
      </c>
      <c r="I3624" s="114">
        <v>81290</v>
      </c>
    </row>
    <row r="3625" spans="4:9" ht="14.4" customHeight="1" x14ac:dyDescent="0.3">
      <c r="F3625">
        <v>2400</v>
      </c>
      <c r="G3625">
        <v>660</v>
      </c>
      <c r="H3625" s="114">
        <v>87030</v>
      </c>
      <c r="I3625" s="114">
        <v>94490</v>
      </c>
    </row>
    <row r="3626" spans="4:9" ht="14.4" customHeight="1" x14ac:dyDescent="0.3">
      <c r="E3626">
        <v>2700</v>
      </c>
      <c r="F3626">
        <v>2200</v>
      </c>
      <c r="G3626">
        <v>660</v>
      </c>
      <c r="H3626" s="114">
        <v>78460</v>
      </c>
      <c r="I3626" s="114">
        <v>85270</v>
      </c>
    </row>
    <row r="3627" spans="4:9" ht="14.4" customHeight="1" x14ac:dyDescent="0.3">
      <c r="F3627">
        <v>2400</v>
      </c>
      <c r="G3627">
        <v>660</v>
      </c>
      <c r="H3627" s="114">
        <v>90590</v>
      </c>
      <c r="I3627" s="114">
        <v>98460</v>
      </c>
    </row>
    <row r="3628" spans="4:9" ht="14.4" customHeight="1" x14ac:dyDescent="0.3">
      <c r="E3628">
        <v>3000</v>
      </c>
      <c r="F3628">
        <v>2200</v>
      </c>
      <c r="G3628">
        <v>660</v>
      </c>
      <c r="H3628" s="114">
        <v>82000</v>
      </c>
      <c r="I3628" s="114">
        <v>89240</v>
      </c>
    </row>
    <row r="3629" spans="4:9" ht="14.4" customHeight="1" x14ac:dyDescent="0.3">
      <c r="F3629">
        <v>2400</v>
      </c>
      <c r="G3629">
        <v>660</v>
      </c>
      <c r="H3629" s="114">
        <v>95900</v>
      </c>
      <c r="I3629" s="114">
        <v>104420</v>
      </c>
    </row>
    <row r="3630" spans="4:9" ht="14.4" customHeight="1" x14ac:dyDescent="0.3">
      <c r="D3630" t="s">
        <v>644</v>
      </c>
      <c r="E3630">
        <v>2400</v>
      </c>
      <c r="F3630">
        <v>2200</v>
      </c>
      <c r="G3630">
        <v>660</v>
      </c>
      <c r="H3630" s="114">
        <v>107420</v>
      </c>
      <c r="I3630" s="114">
        <v>112530</v>
      </c>
    </row>
    <row r="3631" spans="4:9" ht="14.4" customHeight="1" x14ac:dyDescent="0.3">
      <c r="F3631">
        <v>2400</v>
      </c>
      <c r="G3631">
        <v>660</v>
      </c>
      <c r="H3631" s="114">
        <v>126070</v>
      </c>
      <c r="I3631" s="114">
        <v>132250</v>
      </c>
    </row>
    <row r="3632" spans="4:9" ht="14.4" customHeight="1" x14ac:dyDescent="0.3">
      <c r="E3632">
        <v>2700</v>
      </c>
      <c r="F3632">
        <v>2200</v>
      </c>
      <c r="G3632">
        <v>660</v>
      </c>
      <c r="H3632" s="114">
        <v>110980</v>
      </c>
      <c r="I3632" s="114">
        <v>116510</v>
      </c>
    </row>
    <row r="3633" spans="4:9" ht="14.4" customHeight="1" x14ac:dyDescent="0.3">
      <c r="F3633">
        <v>2400</v>
      </c>
      <c r="G3633">
        <v>660</v>
      </c>
      <c r="H3633" s="114">
        <v>129630</v>
      </c>
      <c r="I3633" s="114">
        <v>136220</v>
      </c>
    </row>
    <row r="3634" spans="4:9" ht="14.4" customHeight="1" x14ac:dyDescent="0.3">
      <c r="E3634">
        <v>3000</v>
      </c>
      <c r="F3634">
        <v>2200</v>
      </c>
      <c r="G3634">
        <v>660</v>
      </c>
      <c r="H3634" s="114">
        <v>114520</v>
      </c>
      <c r="I3634" s="114">
        <v>120480</v>
      </c>
    </row>
    <row r="3635" spans="4:9" ht="14.4" customHeight="1" x14ac:dyDescent="0.3">
      <c r="F3635">
        <v>2400</v>
      </c>
      <c r="G3635">
        <v>660</v>
      </c>
      <c r="H3635" s="114">
        <v>134940</v>
      </c>
      <c r="I3635" s="114">
        <v>142180</v>
      </c>
    </row>
    <row r="3636" spans="4:9" ht="14.4" customHeight="1" x14ac:dyDescent="0.3">
      <c r="D3636" t="s">
        <v>645</v>
      </c>
      <c r="E3636">
        <v>2400</v>
      </c>
      <c r="F3636">
        <v>2200</v>
      </c>
      <c r="G3636">
        <v>660</v>
      </c>
      <c r="H3636" s="114">
        <v>107420</v>
      </c>
      <c r="I3636" s="114">
        <v>112530</v>
      </c>
    </row>
    <row r="3637" spans="4:9" ht="14.4" customHeight="1" x14ac:dyDescent="0.3">
      <c r="F3637">
        <v>2400</v>
      </c>
      <c r="G3637">
        <v>660</v>
      </c>
      <c r="H3637" s="114">
        <v>126070</v>
      </c>
      <c r="I3637" s="114">
        <v>132250</v>
      </c>
    </row>
    <row r="3638" spans="4:9" ht="14.4" customHeight="1" x14ac:dyDescent="0.3">
      <c r="E3638">
        <v>2700</v>
      </c>
      <c r="F3638">
        <v>2200</v>
      </c>
      <c r="G3638">
        <v>660</v>
      </c>
      <c r="H3638" s="114">
        <v>110980</v>
      </c>
      <c r="I3638" s="114">
        <v>116510</v>
      </c>
    </row>
    <row r="3639" spans="4:9" ht="14.4" customHeight="1" x14ac:dyDescent="0.3">
      <c r="F3639">
        <v>2400</v>
      </c>
      <c r="G3639">
        <v>660</v>
      </c>
      <c r="H3639" s="114">
        <v>129630</v>
      </c>
      <c r="I3639" s="114">
        <v>136220</v>
      </c>
    </row>
    <row r="3640" spans="4:9" ht="14.4" customHeight="1" x14ac:dyDescent="0.3">
      <c r="E3640">
        <v>3000</v>
      </c>
      <c r="F3640">
        <v>2200</v>
      </c>
      <c r="G3640">
        <v>660</v>
      </c>
      <c r="H3640" s="114">
        <v>114520</v>
      </c>
      <c r="I3640" s="114">
        <v>120480</v>
      </c>
    </row>
    <row r="3641" spans="4:9" ht="14.4" customHeight="1" x14ac:dyDescent="0.3">
      <c r="F3641">
        <v>2400</v>
      </c>
      <c r="G3641">
        <v>660</v>
      </c>
      <c r="H3641" s="114">
        <v>134940</v>
      </c>
      <c r="I3641" s="114">
        <v>142180</v>
      </c>
    </row>
    <row r="3642" spans="4:9" ht="14.4" customHeight="1" x14ac:dyDescent="0.3">
      <c r="D3642" t="s">
        <v>646</v>
      </c>
      <c r="E3642">
        <v>2400</v>
      </c>
      <c r="F3642">
        <v>2200</v>
      </c>
      <c r="G3642">
        <v>660</v>
      </c>
      <c r="H3642" s="114">
        <v>90220</v>
      </c>
      <c r="I3642" s="114">
        <v>95330</v>
      </c>
    </row>
    <row r="3643" spans="4:9" ht="14.4" customHeight="1" x14ac:dyDescent="0.3">
      <c r="F3643">
        <v>2400</v>
      </c>
      <c r="G3643">
        <v>660</v>
      </c>
      <c r="H3643" s="114">
        <v>104110</v>
      </c>
      <c r="I3643" s="114">
        <v>110290</v>
      </c>
    </row>
    <row r="3644" spans="4:9" ht="14.4" customHeight="1" x14ac:dyDescent="0.3">
      <c r="E3644">
        <v>2700</v>
      </c>
      <c r="F3644">
        <v>2200</v>
      </c>
      <c r="G3644">
        <v>660</v>
      </c>
      <c r="H3644" s="114">
        <v>93780</v>
      </c>
      <c r="I3644" s="114">
        <v>99310</v>
      </c>
    </row>
    <row r="3645" spans="4:9" ht="14.4" customHeight="1" x14ac:dyDescent="0.3">
      <c r="F3645">
        <v>2400</v>
      </c>
      <c r="G3645">
        <v>660</v>
      </c>
      <c r="H3645" s="114">
        <v>107670</v>
      </c>
      <c r="I3645" s="114">
        <v>114260</v>
      </c>
    </row>
    <row r="3646" spans="4:9" ht="14.4" customHeight="1" x14ac:dyDescent="0.3">
      <c r="E3646">
        <v>3000</v>
      </c>
      <c r="F3646">
        <v>2200</v>
      </c>
      <c r="G3646">
        <v>660</v>
      </c>
      <c r="H3646" s="114">
        <v>97320</v>
      </c>
      <c r="I3646" s="114">
        <v>103280</v>
      </c>
    </row>
    <row r="3647" spans="4:9" ht="14.4" customHeight="1" x14ac:dyDescent="0.3">
      <c r="F3647">
        <v>2400</v>
      </c>
      <c r="G3647">
        <v>660</v>
      </c>
      <c r="H3647" s="114">
        <v>112980</v>
      </c>
      <c r="I3647" s="114">
        <v>120220</v>
      </c>
    </row>
    <row r="3648" spans="4:9" ht="14.4" customHeight="1" x14ac:dyDescent="0.3">
      <c r="D3648" t="s">
        <v>647</v>
      </c>
      <c r="E3648">
        <v>2400</v>
      </c>
      <c r="F3648">
        <v>2200</v>
      </c>
      <c r="G3648">
        <v>660</v>
      </c>
      <c r="H3648" s="114">
        <v>107420</v>
      </c>
      <c r="I3648" s="114">
        <v>112530</v>
      </c>
    </row>
    <row r="3649" spans="4:9" ht="14.4" customHeight="1" x14ac:dyDescent="0.3">
      <c r="F3649">
        <v>2400</v>
      </c>
      <c r="G3649">
        <v>660</v>
      </c>
      <c r="H3649" s="114">
        <v>126070</v>
      </c>
      <c r="I3649" s="114">
        <v>132250</v>
      </c>
    </row>
    <row r="3650" spans="4:9" ht="14.4" customHeight="1" x14ac:dyDescent="0.3">
      <c r="E3650">
        <v>2700</v>
      </c>
      <c r="F3650">
        <v>2200</v>
      </c>
      <c r="G3650">
        <v>660</v>
      </c>
      <c r="H3650" s="114">
        <v>110980</v>
      </c>
      <c r="I3650" s="114">
        <v>116510</v>
      </c>
    </row>
    <row r="3651" spans="4:9" ht="14.4" customHeight="1" x14ac:dyDescent="0.3">
      <c r="F3651">
        <v>2400</v>
      </c>
      <c r="G3651">
        <v>660</v>
      </c>
      <c r="H3651" s="114">
        <v>129630</v>
      </c>
      <c r="I3651" s="114">
        <v>136220</v>
      </c>
    </row>
    <row r="3652" spans="4:9" ht="14.4" customHeight="1" x14ac:dyDescent="0.3">
      <c r="E3652">
        <v>3000</v>
      </c>
      <c r="F3652">
        <v>2200</v>
      </c>
      <c r="G3652">
        <v>660</v>
      </c>
      <c r="H3652" s="114">
        <v>114520</v>
      </c>
      <c r="I3652" s="114">
        <v>120480</v>
      </c>
    </row>
    <row r="3653" spans="4:9" ht="14.4" customHeight="1" x14ac:dyDescent="0.3">
      <c r="F3653">
        <v>2400</v>
      </c>
      <c r="G3653">
        <v>660</v>
      </c>
      <c r="H3653" s="114">
        <v>134940</v>
      </c>
      <c r="I3653" s="114">
        <v>142180</v>
      </c>
    </row>
    <row r="3654" spans="4:9" ht="14.4" customHeight="1" x14ac:dyDescent="0.3">
      <c r="D3654" t="s">
        <v>648</v>
      </c>
      <c r="E3654">
        <v>2400</v>
      </c>
      <c r="F3654">
        <v>2200</v>
      </c>
      <c r="G3654">
        <v>660</v>
      </c>
      <c r="H3654" s="114">
        <v>81620</v>
      </c>
      <c r="I3654" s="114">
        <v>86730</v>
      </c>
    </row>
    <row r="3655" spans="4:9" ht="14.4" customHeight="1" x14ac:dyDescent="0.3">
      <c r="F3655">
        <v>2400</v>
      </c>
      <c r="G3655">
        <v>660</v>
      </c>
      <c r="H3655" s="114">
        <v>93130</v>
      </c>
      <c r="I3655" s="114">
        <v>99310</v>
      </c>
    </row>
    <row r="3656" spans="4:9" ht="14.4" customHeight="1" x14ac:dyDescent="0.3">
      <c r="E3656">
        <v>2700</v>
      </c>
      <c r="F3656">
        <v>2200</v>
      </c>
      <c r="G3656">
        <v>660</v>
      </c>
      <c r="H3656" s="114">
        <v>85180</v>
      </c>
      <c r="I3656" s="114">
        <v>90710</v>
      </c>
    </row>
    <row r="3657" spans="4:9" ht="14.4" customHeight="1" x14ac:dyDescent="0.3">
      <c r="F3657">
        <v>2400</v>
      </c>
      <c r="G3657">
        <v>660</v>
      </c>
      <c r="H3657" s="114">
        <v>96690</v>
      </c>
      <c r="I3657" s="114">
        <v>103280</v>
      </c>
    </row>
    <row r="3658" spans="4:9" ht="14.4" customHeight="1" x14ac:dyDescent="0.3">
      <c r="E3658">
        <v>3000</v>
      </c>
      <c r="F3658">
        <v>2200</v>
      </c>
      <c r="G3658">
        <v>660</v>
      </c>
      <c r="H3658" s="114">
        <v>88720</v>
      </c>
      <c r="I3658" s="114">
        <v>94680</v>
      </c>
    </row>
    <row r="3659" spans="4:9" ht="14.4" customHeight="1" x14ac:dyDescent="0.3">
      <c r="F3659">
        <v>2400</v>
      </c>
      <c r="G3659">
        <v>660</v>
      </c>
      <c r="H3659" s="114">
        <v>102000</v>
      </c>
      <c r="I3659" s="114">
        <v>109240</v>
      </c>
    </row>
    <row r="3660" spans="4:9" ht="14.4" customHeight="1" x14ac:dyDescent="0.3">
      <c r="D3660" t="s">
        <v>649</v>
      </c>
      <c r="E3660">
        <v>2400</v>
      </c>
      <c r="F3660">
        <v>2200</v>
      </c>
      <c r="G3660">
        <v>660</v>
      </c>
      <c r="H3660" s="114">
        <v>107420</v>
      </c>
      <c r="I3660" s="114">
        <v>112530</v>
      </c>
    </row>
    <row r="3661" spans="4:9" ht="14.4" customHeight="1" x14ac:dyDescent="0.3">
      <c r="F3661">
        <v>2400</v>
      </c>
      <c r="G3661">
        <v>660</v>
      </c>
      <c r="H3661" s="114">
        <v>126070</v>
      </c>
      <c r="I3661" s="114">
        <v>132250</v>
      </c>
    </row>
    <row r="3662" spans="4:9" ht="14.4" customHeight="1" x14ac:dyDescent="0.3">
      <c r="E3662">
        <v>2700</v>
      </c>
      <c r="F3662">
        <v>2200</v>
      </c>
      <c r="G3662">
        <v>660</v>
      </c>
      <c r="H3662" s="114">
        <v>110980</v>
      </c>
      <c r="I3662" s="114">
        <v>116510</v>
      </c>
    </row>
    <row r="3663" spans="4:9" ht="14.4" customHeight="1" x14ac:dyDescent="0.3">
      <c r="F3663">
        <v>2400</v>
      </c>
      <c r="G3663">
        <v>660</v>
      </c>
      <c r="H3663" s="114">
        <v>129630</v>
      </c>
      <c r="I3663" s="114">
        <v>136220</v>
      </c>
    </row>
    <row r="3664" spans="4:9" ht="14.4" customHeight="1" x14ac:dyDescent="0.3">
      <c r="E3664">
        <v>3000</v>
      </c>
      <c r="F3664">
        <v>2200</v>
      </c>
      <c r="G3664">
        <v>660</v>
      </c>
      <c r="H3664" s="114">
        <v>114520</v>
      </c>
      <c r="I3664" s="114">
        <v>120480</v>
      </c>
    </row>
    <row r="3665" spans="4:9" ht="14.4" customHeight="1" x14ac:dyDescent="0.3">
      <c r="F3665">
        <v>2400</v>
      </c>
      <c r="G3665">
        <v>660</v>
      </c>
      <c r="H3665" s="114">
        <v>134940</v>
      </c>
      <c r="I3665" s="114">
        <v>142180</v>
      </c>
    </row>
    <row r="3666" spans="4:9" ht="14.4" customHeight="1" x14ac:dyDescent="0.3">
      <c r="D3666" t="s">
        <v>650</v>
      </c>
      <c r="E3666">
        <v>2400</v>
      </c>
      <c r="F3666">
        <v>2200</v>
      </c>
      <c r="G3666">
        <v>660</v>
      </c>
      <c r="H3666" s="114">
        <v>74600</v>
      </c>
      <c r="I3666" s="114">
        <v>79710</v>
      </c>
    </row>
    <row r="3667" spans="4:9" ht="14.4" customHeight="1" x14ac:dyDescent="0.3">
      <c r="F3667">
        <v>2400</v>
      </c>
      <c r="G3667">
        <v>660</v>
      </c>
      <c r="H3667" s="114">
        <v>85270</v>
      </c>
      <c r="I3667" s="114">
        <v>91450</v>
      </c>
    </row>
    <row r="3668" spans="4:9" ht="14.4" customHeight="1" x14ac:dyDescent="0.3">
      <c r="E3668">
        <v>2700</v>
      </c>
      <c r="F3668">
        <v>2200</v>
      </c>
      <c r="G3668">
        <v>660</v>
      </c>
      <c r="H3668" s="114">
        <v>78160</v>
      </c>
      <c r="I3668" s="114">
        <v>83690</v>
      </c>
    </row>
    <row r="3669" spans="4:9" ht="14.4" customHeight="1" x14ac:dyDescent="0.3">
      <c r="F3669">
        <v>2400</v>
      </c>
      <c r="G3669">
        <v>660</v>
      </c>
      <c r="H3669" s="114">
        <v>88830</v>
      </c>
      <c r="I3669" s="114">
        <v>95420</v>
      </c>
    </row>
    <row r="3670" spans="4:9" ht="14.4" customHeight="1" x14ac:dyDescent="0.3">
      <c r="E3670">
        <v>3000</v>
      </c>
      <c r="F3670">
        <v>2200</v>
      </c>
      <c r="G3670">
        <v>660</v>
      </c>
      <c r="H3670" s="114">
        <v>81700</v>
      </c>
      <c r="I3670" s="114">
        <v>87660</v>
      </c>
    </row>
    <row r="3671" spans="4:9" ht="14.4" customHeight="1" x14ac:dyDescent="0.3">
      <c r="F3671">
        <v>2400</v>
      </c>
      <c r="G3671">
        <v>660</v>
      </c>
      <c r="H3671" s="114">
        <v>94140</v>
      </c>
      <c r="I3671" s="114">
        <v>101380</v>
      </c>
    </row>
    <row r="3672" spans="4:9" ht="14.4" customHeight="1" x14ac:dyDescent="0.3">
      <c r="D3672" t="s">
        <v>651</v>
      </c>
      <c r="E3672">
        <v>2400</v>
      </c>
      <c r="F3672">
        <v>2200</v>
      </c>
      <c r="G3672">
        <v>660</v>
      </c>
      <c r="H3672" s="114">
        <v>58640</v>
      </c>
      <c r="I3672" s="114">
        <v>65670</v>
      </c>
    </row>
    <row r="3673" spans="4:9" ht="14.4" customHeight="1" x14ac:dyDescent="0.3">
      <c r="F3673">
        <v>2400</v>
      </c>
      <c r="G3673">
        <v>660</v>
      </c>
      <c r="H3673" s="114">
        <v>67510</v>
      </c>
      <c r="I3673" s="114">
        <v>75610</v>
      </c>
    </row>
    <row r="3674" spans="4:9" ht="14.4" customHeight="1" x14ac:dyDescent="0.3">
      <c r="E3674">
        <v>2700</v>
      </c>
      <c r="F3674">
        <v>2200</v>
      </c>
      <c r="G3674">
        <v>660</v>
      </c>
      <c r="H3674" s="114">
        <v>62200</v>
      </c>
      <c r="I3674" s="114">
        <v>69650</v>
      </c>
    </row>
    <row r="3675" spans="4:9" ht="14.4" customHeight="1" x14ac:dyDescent="0.3">
      <c r="F3675">
        <v>2400</v>
      </c>
      <c r="G3675">
        <v>660</v>
      </c>
      <c r="H3675" s="114">
        <v>71070</v>
      </c>
      <c r="I3675" s="114">
        <v>79580</v>
      </c>
    </row>
    <row r="3676" spans="4:9" ht="14.4" customHeight="1" x14ac:dyDescent="0.3">
      <c r="E3676">
        <v>3000</v>
      </c>
      <c r="F3676">
        <v>2200</v>
      </c>
      <c r="G3676">
        <v>660</v>
      </c>
      <c r="H3676" s="114">
        <v>65740</v>
      </c>
      <c r="I3676" s="114">
        <v>73620</v>
      </c>
    </row>
    <row r="3677" spans="4:9" ht="14.4" customHeight="1" x14ac:dyDescent="0.3">
      <c r="F3677">
        <v>2400</v>
      </c>
      <c r="G3677">
        <v>660</v>
      </c>
      <c r="H3677" s="114">
        <v>76380</v>
      </c>
      <c r="I3677" s="114">
        <v>85540</v>
      </c>
    </row>
    <row r="3678" spans="4:9" ht="14.4" customHeight="1" x14ac:dyDescent="0.3">
      <c r="D3678" t="s">
        <v>652</v>
      </c>
      <c r="E3678">
        <v>2400</v>
      </c>
      <c r="F3678">
        <v>2200</v>
      </c>
      <c r="G3678">
        <v>660</v>
      </c>
      <c r="H3678" s="114">
        <v>107420</v>
      </c>
      <c r="I3678" s="114">
        <v>112530</v>
      </c>
    </row>
    <row r="3679" spans="4:9" ht="14.4" customHeight="1" x14ac:dyDescent="0.3">
      <c r="F3679">
        <v>2400</v>
      </c>
      <c r="G3679">
        <v>660</v>
      </c>
      <c r="H3679" s="114">
        <v>126070</v>
      </c>
      <c r="I3679" s="114">
        <v>132250</v>
      </c>
    </row>
    <row r="3680" spans="4:9" ht="14.4" customHeight="1" x14ac:dyDescent="0.3">
      <c r="E3680">
        <v>2700</v>
      </c>
      <c r="F3680">
        <v>2200</v>
      </c>
      <c r="G3680">
        <v>660</v>
      </c>
      <c r="H3680" s="114">
        <v>110980</v>
      </c>
      <c r="I3680" s="114">
        <v>116510</v>
      </c>
    </row>
    <row r="3681" spans="4:9" ht="14.4" customHeight="1" x14ac:dyDescent="0.3">
      <c r="F3681">
        <v>2400</v>
      </c>
      <c r="G3681">
        <v>660</v>
      </c>
      <c r="H3681" s="114">
        <v>129630</v>
      </c>
      <c r="I3681" s="114">
        <v>136220</v>
      </c>
    </row>
    <row r="3682" spans="4:9" ht="14.4" customHeight="1" x14ac:dyDescent="0.3">
      <c r="E3682">
        <v>3000</v>
      </c>
      <c r="F3682">
        <v>2200</v>
      </c>
      <c r="G3682">
        <v>660</v>
      </c>
      <c r="H3682" s="114">
        <v>114520</v>
      </c>
      <c r="I3682" s="114">
        <v>120480</v>
      </c>
    </row>
    <row r="3683" spans="4:9" ht="14.4" customHeight="1" x14ac:dyDescent="0.3">
      <c r="F3683">
        <v>2400</v>
      </c>
      <c r="G3683">
        <v>660</v>
      </c>
      <c r="H3683" s="114">
        <v>134940</v>
      </c>
      <c r="I3683" s="114">
        <v>142180</v>
      </c>
    </row>
    <row r="3684" spans="4:9" ht="14.4" customHeight="1" x14ac:dyDescent="0.3">
      <c r="D3684" t="s">
        <v>653</v>
      </c>
      <c r="E3684">
        <v>2400</v>
      </c>
      <c r="F3684">
        <v>2200</v>
      </c>
      <c r="G3684">
        <v>660</v>
      </c>
      <c r="H3684" s="114">
        <v>107420</v>
      </c>
      <c r="I3684" s="114">
        <v>112530</v>
      </c>
    </row>
    <row r="3685" spans="4:9" ht="14.4" customHeight="1" x14ac:dyDescent="0.3">
      <c r="F3685">
        <v>2400</v>
      </c>
      <c r="G3685">
        <v>660</v>
      </c>
      <c r="H3685" s="114">
        <v>126070</v>
      </c>
      <c r="I3685" s="114">
        <v>132250</v>
      </c>
    </row>
    <row r="3686" spans="4:9" ht="14.4" customHeight="1" x14ac:dyDescent="0.3">
      <c r="E3686">
        <v>2700</v>
      </c>
      <c r="F3686">
        <v>2200</v>
      </c>
      <c r="G3686">
        <v>660</v>
      </c>
      <c r="H3686" s="114">
        <v>110980</v>
      </c>
      <c r="I3686" s="114">
        <v>116510</v>
      </c>
    </row>
    <row r="3687" spans="4:9" ht="14.4" customHeight="1" x14ac:dyDescent="0.3">
      <c r="F3687">
        <v>2400</v>
      </c>
      <c r="G3687">
        <v>660</v>
      </c>
      <c r="H3687" s="114">
        <v>129630</v>
      </c>
      <c r="I3687" s="114">
        <v>136220</v>
      </c>
    </row>
    <row r="3688" spans="4:9" ht="14.4" customHeight="1" x14ac:dyDescent="0.3">
      <c r="E3688">
        <v>3000</v>
      </c>
      <c r="F3688">
        <v>2200</v>
      </c>
      <c r="G3688">
        <v>660</v>
      </c>
      <c r="H3688" s="114">
        <v>114520</v>
      </c>
      <c r="I3688" s="114">
        <v>120480</v>
      </c>
    </row>
    <row r="3689" spans="4:9" ht="14.4" customHeight="1" x14ac:dyDescent="0.3">
      <c r="F3689">
        <v>2400</v>
      </c>
      <c r="G3689">
        <v>660</v>
      </c>
      <c r="H3689" s="114">
        <v>134940</v>
      </c>
      <c r="I3689" s="114">
        <v>142180</v>
      </c>
    </row>
    <row r="3690" spans="4:9" ht="14.4" customHeight="1" x14ac:dyDescent="0.3">
      <c r="D3690" t="s">
        <v>654</v>
      </c>
      <c r="E3690">
        <v>2400</v>
      </c>
      <c r="F3690">
        <v>2200</v>
      </c>
      <c r="G3690">
        <v>660</v>
      </c>
      <c r="H3690" s="114">
        <v>107420</v>
      </c>
      <c r="I3690" s="114">
        <v>112530</v>
      </c>
    </row>
    <row r="3691" spans="4:9" ht="14.4" customHeight="1" x14ac:dyDescent="0.3">
      <c r="F3691">
        <v>2400</v>
      </c>
      <c r="G3691">
        <v>660</v>
      </c>
      <c r="H3691" s="114">
        <v>126070</v>
      </c>
      <c r="I3691" s="114">
        <v>132250</v>
      </c>
    </row>
    <row r="3692" spans="4:9" ht="14.4" customHeight="1" x14ac:dyDescent="0.3">
      <c r="E3692">
        <v>2700</v>
      </c>
      <c r="F3692">
        <v>2200</v>
      </c>
      <c r="G3692">
        <v>660</v>
      </c>
      <c r="H3692" s="114">
        <v>110980</v>
      </c>
      <c r="I3692" s="114">
        <v>116510</v>
      </c>
    </row>
    <row r="3693" spans="4:9" ht="14.4" customHeight="1" x14ac:dyDescent="0.3">
      <c r="F3693">
        <v>2400</v>
      </c>
      <c r="G3693">
        <v>660</v>
      </c>
      <c r="H3693" s="114">
        <v>129630</v>
      </c>
      <c r="I3693" s="114">
        <v>136220</v>
      </c>
    </row>
    <row r="3694" spans="4:9" ht="14.4" customHeight="1" x14ac:dyDescent="0.3">
      <c r="E3694">
        <v>3000</v>
      </c>
      <c r="F3694">
        <v>2200</v>
      </c>
      <c r="G3694">
        <v>660</v>
      </c>
      <c r="H3694" s="114">
        <v>114520</v>
      </c>
      <c r="I3694" s="114">
        <v>120480</v>
      </c>
    </row>
    <row r="3695" spans="4:9" ht="14.4" customHeight="1" x14ac:dyDescent="0.3">
      <c r="F3695">
        <v>2400</v>
      </c>
      <c r="G3695">
        <v>660</v>
      </c>
      <c r="H3695" s="114">
        <v>134940</v>
      </c>
      <c r="I3695" s="114">
        <v>142180</v>
      </c>
    </row>
    <row r="3696" spans="4:9" ht="14.4" customHeight="1" x14ac:dyDescent="0.3">
      <c r="D3696" t="s">
        <v>655</v>
      </c>
      <c r="E3696">
        <v>2400</v>
      </c>
      <c r="F3696">
        <v>2200</v>
      </c>
      <c r="G3696">
        <v>660</v>
      </c>
      <c r="H3696" s="114">
        <v>107420</v>
      </c>
      <c r="I3696" s="114">
        <v>112530</v>
      </c>
    </row>
    <row r="3697" spans="4:9" ht="14.4" customHeight="1" x14ac:dyDescent="0.3">
      <c r="F3697">
        <v>2400</v>
      </c>
      <c r="G3697">
        <v>660</v>
      </c>
      <c r="H3697" s="114">
        <v>126070</v>
      </c>
      <c r="I3697" s="114">
        <v>132250</v>
      </c>
    </row>
    <row r="3698" spans="4:9" ht="14.4" customHeight="1" x14ac:dyDescent="0.3">
      <c r="E3698">
        <v>2700</v>
      </c>
      <c r="F3698">
        <v>2200</v>
      </c>
      <c r="G3698">
        <v>660</v>
      </c>
      <c r="H3698" s="114">
        <v>110980</v>
      </c>
      <c r="I3698" s="114">
        <v>116510</v>
      </c>
    </row>
    <row r="3699" spans="4:9" ht="14.4" customHeight="1" x14ac:dyDescent="0.3">
      <c r="F3699">
        <v>2400</v>
      </c>
      <c r="G3699">
        <v>660</v>
      </c>
      <c r="H3699" s="114">
        <v>129630</v>
      </c>
      <c r="I3699" s="114">
        <v>136220</v>
      </c>
    </row>
    <row r="3700" spans="4:9" ht="14.4" customHeight="1" x14ac:dyDescent="0.3">
      <c r="E3700">
        <v>3000</v>
      </c>
      <c r="F3700">
        <v>2200</v>
      </c>
      <c r="G3700">
        <v>660</v>
      </c>
      <c r="H3700" s="114">
        <v>114520</v>
      </c>
      <c r="I3700" s="114">
        <v>120480</v>
      </c>
    </row>
    <row r="3701" spans="4:9" ht="14.4" customHeight="1" x14ac:dyDescent="0.3">
      <c r="F3701">
        <v>2400</v>
      </c>
      <c r="G3701">
        <v>660</v>
      </c>
      <c r="H3701" s="114">
        <v>134940</v>
      </c>
      <c r="I3701" s="114">
        <v>142180</v>
      </c>
    </row>
    <row r="3702" spans="4:9" ht="14.4" customHeight="1" x14ac:dyDescent="0.3">
      <c r="D3702" t="s">
        <v>656</v>
      </c>
      <c r="E3702">
        <v>2400</v>
      </c>
      <c r="F3702">
        <v>2200</v>
      </c>
      <c r="G3702">
        <v>660</v>
      </c>
      <c r="H3702" s="114">
        <v>81620</v>
      </c>
      <c r="I3702" s="114">
        <v>86730</v>
      </c>
    </row>
    <row r="3703" spans="4:9" ht="14.4" customHeight="1" x14ac:dyDescent="0.3">
      <c r="F3703">
        <v>2400</v>
      </c>
      <c r="G3703">
        <v>660</v>
      </c>
      <c r="H3703" s="114">
        <v>93130</v>
      </c>
      <c r="I3703" s="114">
        <v>99310</v>
      </c>
    </row>
    <row r="3704" spans="4:9" ht="14.4" customHeight="1" x14ac:dyDescent="0.3">
      <c r="E3704">
        <v>2700</v>
      </c>
      <c r="F3704">
        <v>2200</v>
      </c>
      <c r="G3704">
        <v>660</v>
      </c>
      <c r="H3704" s="114">
        <v>85180</v>
      </c>
      <c r="I3704" s="114">
        <v>90710</v>
      </c>
    </row>
    <row r="3705" spans="4:9" ht="14.4" customHeight="1" x14ac:dyDescent="0.3">
      <c r="F3705">
        <v>2400</v>
      </c>
      <c r="G3705">
        <v>660</v>
      </c>
      <c r="H3705" s="114">
        <v>96690</v>
      </c>
      <c r="I3705" s="114">
        <v>103280</v>
      </c>
    </row>
    <row r="3706" spans="4:9" ht="14.4" customHeight="1" x14ac:dyDescent="0.3">
      <c r="E3706">
        <v>3000</v>
      </c>
      <c r="F3706">
        <v>2200</v>
      </c>
      <c r="G3706">
        <v>660</v>
      </c>
      <c r="H3706" s="114">
        <v>88720</v>
      </c>
      <c r="I3706" s="114">
        <v>94680</v>
      </c>
    </row>
    <row r="3707" spans="4:9" ht="14.4" customHeight="1" x14ac:dyDescent="0.3">
      <c r="F3707">
        <v>2400</v>
      </c>
      <c r="G3707">
        <v>660</v>
      </c>
      <c r="H3707" s="114">
        <v>102000</v>
      </c>
      <c r="I3707" s="114">
        <v>109240</v>
      </c>
    </row>
    <row r="3708" spans="4:9" ht="14.4" customHeight="1" x14ac:dyDescent="0.3">
      <c r="D3708" t="s">
        <v>657</v>
      </c>
      <c r="E3708">
        <v>2400</v>
      </c>
      <c r="F3708">
        <v>2200</v>
      </c>
      <c r="G3708">
        <v>660</v>
      </c>
      <c r="H3708" s="114">
        <v>94520</v>
      </c>
      <c r="I3708" s="114">
        <v>99630</v>
      </c>
    </row>
    <row r="3709" spans="4:9" ht="14.4" customHeight="1" x14ac:dyDescent="0.3">
      <c r="F3709">
        <v>2400</v>
      </c>
      <c r="G3709">
        <v>660</v>
      </c>
      <c r="H3709" s="114">
        <v>109600</v>
      </c>
      <c r="I3709" s="114">
        <v>115780</v>
      </c>
    </row>
    <row r="3710" spans="4:9" ht="14.4" customHeight="1" x14ac:dyDescent="0.3">
      <c r="E3710">
        <v>2700</v>
      </c>
      <c r="F3710">
        <v>2200</v>
      </c>
      <c r="G3710">
        <v>660</v>
      </c>
      <c r="H3710" s="114">
        <v>98080</v>
      </c>
      <c r="I3710" s="114">
        <v>103610</v>
      </c>
    </row>
    <row r="3711" spans="4:9" ht="14.4" customHeight="1" x14ac:dyDescent="0.3">
      <c r="F3711">
        <v>2400</v>
      </c>
      <c r="G3711">
        <v>660</v>
      </c>
      <c r="H3711" s="114">
        <v>113160</v>
      </c>
      <c r="I3711" s="114">
        <v>119750</v>
      </c>
    </row>
    <row r="3712" spans="4:9" ht="14.4" customHeight="1" x14ac:dyDescent="0.3">
      <c r="E3712">
        <v>3000</v>
      </c>
      <c r="F3712">
        <v>2200</v>
      </c>
      <c r="G3712">
        <v>660</v>
      </c>
      <c r="H3712" s="114">
        <v>101620</v>
      </c>
      <c r="I3712" s="114">
        <v>107580</v>
      </c>
    </row>
    <row r="3713" spans="4:9" ht="14.4" customHeight="1" x14ac:dyDescent="0.3">
      <c r="F3713">
        <v>2400</v>
      </c>
      <c r="G3713">
        <v>660</v>
      </c>
      <c r="H3713" s="114">
        <v>118470</v>
      </c>
      <c r="I3713" s="114">
        <v>125710</v>
      </c>
    </row>
    <row r="3714" spans="4:9" ht="14.4" customHeight="1" x14ac:dyDescent="0.3">
      <c r="D3714" t="s">
        <v>658</v>
      </c>
      <c r="E3714">
        <v>2400</v>
      </c>
      <c r="F3714">
        <v>2200</v>
      </c>
      <c r="G3714">
        <v>660</v>
      </c>
      <c r="H3714" s="114">
        <v>94520</v>
      </c>
      <c r="I3714" s="114">
        <v>99630</v>
      </c>
    </row>
    <row r="3715" spans="4:9" ht="14.4" customHeight="1" x14ac:dyDescent="0.3">
      <c r="F3715">
        <v>2400</v>
      </c>
      <c r="G3715">
        <v>660</v>
      </c>
      <c r="H3715" s="114">
        <v>109600</v>
      </c>
      <c r="I3715" s="114">
        <v>115780</v>
      </c>
    </row>
    <row r="3716" spans="4:9" ht="14.4" customHeight="1" x14ac:dyDescent="0.3">
      <c r="E3716">
        <v>2700</v>
      </c>
      <c r="F3716">
        <v>2200</v>
      </c>
      <c r="G3716">
        <v>660</v>
      </c>
      <c r="H3716" s="114">
        <v>98080</v>
      </c>
      <c r="I3716" s="114">
        <v>103610</v>
      </c>
    </row>
    <row r="3717" spans="4:9" ht="14.4" customHeight="1" x14ac:dyDescent="0.3">
      <c r="F3717">
        <v>2400</v>
      </c>
      <c r="G3717">
        <v>660</v>
      </c>
      <c r="H3717" s="114">
        <v>113160</v>
      </c>
      <c r="I3717" s="114">
        <v>119750</v>
      </c>
    </row>
    <row r="3718" spans="4:9" ht="14.4" customHeight="1" x14ac:dyDescent="0.3">
      <c r="E3718">
        <v>3000</v>
      </c>
      <c r="F3718">
        <v>2200</v>
      </c>
      <c r="G3718">
        <v>660</v>
      </c>
      <c r="H3718" s="114">
        <v>101620</v>
      </c>
      <c r="I3718" s="114">
        <v>107580</v>
      </c>
    </row>
    <row r="3719" spans="4:9" ht="14.4" customHeight="1" x14ac:dyDescent="0.3">
      <c r="F3719">
        <v>2400</v>
      </c>
      <c r="G3719">
        <v>660</v>
      </c>
      <c r="H3719" s="114">
        <v>118470</v>
      </c>
      <c r="I3719" s="114">
        <v>125710</v>
      </c>
    </row>
    <row r="3720" spans="4:9" ht="14.4" customHeight="1" x14ac:dyDescent="0.3">
      <c r="D3720" t="s">
        <v>659</v>
      </c>
      <c r="E3720">
        <v>2400</v>
      </c>
      <c r="F3720">
        <v>2200</v>
      </c>
      <c r="G3720">
        <v>660</v>
      </c>
      <c r="H3720" s="114">
        <v>94520</v>
      </c>
      <c r="I3720" s="114">
        <v>99630</v>
      </c>
    </row>
    <row r="3721" spans="4:9" ht="14.4" customHeight="1" x14ac:dyDescent="0.3">
      <c r="F3721">
        <v>2400</v>
      </c>
      <c r="G3721">
        <v>660</v>
      </c>
      <c r="H3721" s="114">
        <v>109600</v>
      </c>
      <c r="I3721" s="114">
        <v>115780</v>
      </c>
    </row>
    <row r="3722" spans="4:9" ht="14.4" customHeight="1" x14ac:dyDescent="0.3">
      <c r="E3722">
        <v>2700</v>
      </c>
      <c r="F3722">
        <v>2200</v>
      </c>
      <c r="G3722">
        <v>660</v>
      </c>
      <c r="H3722" s="114">
        <v>98080</v>
      </c>
      <c r="I3722" s="114">
        <v>103610</v>
      </c>
    </row>
    <row r="3723" spans="4:9" ht="14.4" customHeight="1" x14ac:dyDescent="0.3">
      <c r="F3723">
        <v>2400</v>
      </c>
      <c r="G3723">
        <v>660</v>
      </c>
      <c r="H3723" s="114">
        <v>113160</v>
      </c>
      <c r="I3723" s="114">
        <v>119750</v>
      </c>
    </row>
    <row r="3724" spans="4:9" ht="14.4" customHeight="1" x14ac:dyDescent="0.3">
      <c r="E3724">
        <v>3000</v>
      </c>
      <c r="F3724">
        <v>2200</v>
      </c>
      <c r="G3724">
        <v>660</v>
      </c>
      <c r="H3724" s="114">
        <v>101620</v>
      </c>
      <c r="I3724" s="114">
        <v>107580</v>
      </c>
    </row>
    <row r="3725" spans="4:9" ht="14.4" customHeight="1" x14ac:dyDescent="0.3">
      <c r="F3725">
        <v>2400</v>
      </c>
      <c r="G3725">
        <v>660</v>
      </c>
      <c r="H3725" s="114">
        <v>118470</v>
      </c>
      <c r="I3725" s="114">
        <v>125710</v>
      </c>
    </row>
    <row r="3726" spans="4:9" ht="14.4" customHeight="1" x14ac:dyDescent="0.3">
      <c r="D3726" t="s">
        <v>660</v>
      </c>
      <c r="E3726">
        <v>2400</v>
      </c>
      <c r="F3726">
        <v>2200</v>
      </c>
      <c r="G3726">
        <v>660</v>
      </c>
      <c r="H3726" s="114">
        <v>94520</v>
      </c>
      <c r="I3726" s="114">
        <v>99630</v>
      </c>
    </row>
    <row r="3727" spans="4:9" ht="14.4" customHeight="1" x14ac:dyDescent="0.3">
      <c r="F3727">
        <v>2400</v>
      </c>
      <c r="G3727">
        <v>660</v>
      </c>
      <c r="H3727" s="114">
        <v>109600</v>
      </c>
      <c r="I3727" s="114">
        <v>115780</v>
      </c>
    </row>
    <row r="3728" spans="4:9" ht="14.4" customHeight="1" x14ac:dyDescent="0.3">
      <c r="E3728">
        <v>2700</v>
      </c>
      <c r="F3728">
        <v>2200</v>
      </c>
      <c r="G3728">
        <v>660</v>
      </c>
      <c r="H3728" s="114">
        <v>98080</v>
      </c>
      <c r="I3728" s="114">
        <v>103610</v>
      </c>
    </row>
    <row r="3729" spans="4:9" ht="14.4" customHeight="1" x14ac:dyDescent="0.3">
      <c r="F3729">
        <v>2400</v>
      </c>
      <c r="G3729">
        <v>660</v>
      </c>
      <c r="H3729" s="114">
        <v>113160</v>
      </c>
      <c r="I3729" s="114">
        <v>119750</v>
      </c>
    </row>
    <row r="3730" spans="4:9" ht="14.4" customHeight="1" x14ac:dyDescent="0.3">
      <c r="E3730">
        <v>3000</v>
      </c>
      <c r="F3730">
        <v>2200</v>
      </c>
      <c r="G3730">
        <v>660</v>
      </c>
      <c r="H3730" s="114">
        <v>101620</v>
      </c>
      <c r="I3730" s="114">
        <v>107580</v>
      </c>
    </row>
    <row r="3731" spans="4:9" ht="14.4" customHeight="1" x14ac:dyDescent="0.3">
      <c r="F3731">
        <v>2400</v>
      </c>
      <c r="G3731">
        <v>660</v>
      </c>
      <c r="H3731" s="114">
        <v>118470</v>
      </c>
      <c r="I3731" s="114">
        <v>125710</v>
      </c>
    </row>
    <row r="3732" spans="4:9" ht="14.4" customHeight="1" x14ac:dyDescent="0.3">
      <c r="D3732" t="s">
        <v>661</v>
      </c>
      <c r="E3732">
        <v>2400</v>
      </c>
      <c r="F3732">
        <v>2200</v>
      </c>
      <c r="G3732">
        <v>660</v>
      </c>
      <c r="H3732" s="114">
        <v>81620</v>
      </c>
      <c r="I3732" s="114">
        <v>86730</v>
      </c>
    </row>
    <row r="3733" spans="4:9" ht="14.4" customHeight="1" x14ac:dyDescent="0.3">
      <c r="F3733">
        <v>2400</v>
      </c>
      <c r="G3733">
        <v>660</v>
      </c>
      <c r="H3733" s="114">
        <v>93130</v>
      </c>
      <c r="I3733" s="114">
        <v>99310</v>
      </c>
    </row>
    <row r="3734" spans="4:9" ht="14.4" customHeight="1" x14ac:dyDescent="0.3">
      <c r="E3734">
        <v>2700</v>
      </c>
      <c r="F3734">
        <v>2200</v>
      </c>
      <c r="G3734">
        <v>660</v>
      </c>
      <c r="H3734" s="114">
        <v>85180</v>
      </c>
      <c r="I3734" s="114">
        <v>90710</v>
      </c>
    </row>
    <row r="3735" spans="4:9" ht="14.4" customHeight="1" x14ac:dyDescent="0.3">
      <c r="F3735">
        <v>2400</v>
      </c>
      <c r="G3735">
        <v>660</v>
      </c>
      <c r="H3735" s="114">
        <v>96690</v>
      </c>
      <c r="I3735" s="114">
        <v>103280</v>
      </c>
    </row>
    <row r="3736" spans="4:9" ht="14.4" customHeight="1" x14ac:dyDescent="0.3">
      <c r="E3736">
        <v>3000</v>
      </c>
      <c r="F3736">
        <v>2200</v>
      </c>
      <c r="G3736">
        <v>660</v>
      </c>
      <c r="H3736" s="114">
        <v>88720</v>
      </c>
      <c r="I3736" s="114">
        <v>94680</v>
      </c>
    </row>
    <row r="3737" spans="4:9" ht="14.4" customHeight="1" x14ac:dyDescent="0.3">
      <c r="F3737">
        <v>2400</v>
      </c>
      <c r="G3737">
        <v>660</v>
      </c>
      <c r="H3737" s="114">
        <v>102000</v>
      </c>
      <c r="I3737" s="114">
        <v>109240</v>
      </c>
    </row>
    <row r="3738" spans="4:9" ht="14.4" customHeight="1" x14ac:dyDescent="0.3">
      <c r="D3738" t="s">
        <v>662</v>
      </c>
      <c r="E3738">
        <v>2400</v>
      </c>
      <c r="F3738">
        <v>2200</v>
      </c>
      <c r="G3738">
        <v>660</v>
      </c>
      <c r="H3738" s="114">
        <v>107420</v>
      </c>
      <c r="I3738" s="114">
        <v>112530</v>
      </c>
    </row>
    <row r="3739" spans="4:9" ht="14.4" customHeight="1" x14ac:dyDescent="0.3">
      <c r="F3739">
        <v>2400</v>
      </c>
      <c r="G3739">
        <v>660</v>
      </c>
      <c r="H3739" s="114">
        <v>126070</v>
      </c>
      <c r="I3739" s="114">
        <v>132250</v>
      </c>
    </row>
    <row r="3740" spans="4:9" ht="14.4" customHeight="1" x14ac:dyDescent="0.3">
      <c r="E3740">
        <v>2700</v>
      </c>
      <c r="F3740">
        <v>2200</v>
      </c>
      <c r="G3740">
        <v>660</v>
      </c>
      <c r="H3740" s="114">
        <v>110980</v>
      </c>
      <c r="I3740" s="114">
        <v>116510</v>
      </c>
    </row>
    <row r="3741" spans="4:9" ht="14.4" customHeight="1" x14ac:dyDescent="0.3">
      <c r="F3741">
        <v>2400</v>
      </c>
      <c r="G3741">
        <v>660</v>
      </c>
      <c r="H3741" s="114">
        <v>129630</v>
      </c>
      <c r="I3741" s="114">
        <v>136220</v>
      </c>
    </row>
    <row r="3742" spans="4:9" ht="14.4" customHeight="1" x14ac:dyDescent="0.3">
      <c r="E3742">
        <v>3000</v>
      </c>
      <c r="F3742">
        <v>2200</v>
      </c>
      <c r="G3742">
        <v>660</v>
      </c>
      <c r="H3742" s="114">
        <v>114520</v>
      </c>
      <c r="I3742" s="114">
        <v>120480</v>
      </c>
    </row>
    <row r="3743" spans="4:9" ht="14.4" customHeight="1" x14ac:dyDescent="0.3">
      <c r="F3743">
        <v>2400</v>
      </c>
      <c r="G3743">
        <v>660</v>
      </c>
      <c r="H3743" s="114">
        <v>134940</v>
      </c>
      <c r="I3743" s="114">
        <v>142180</v>
      </c>
    </row>
    <row r="3744" spans="4:9" ht="14.4" customHeight="1" x14ac:dyDescent="0.3">
      <c r="D3744" t="s">
        <v>663</v>
      </c>
      <c r="E3744">
        <v>2400</v>
      </c>
      <c r="F3744">
        <v>2200</v>
      </c>
      <c r="G3744">
        <v>660</v>
      </c>
      <c r="H3744" s="114">
        <v>107420</v>
      </c>
      <c r="I3744" s="114">
        <v>112530</v>
      </c>
    </row>
    <row r="3745" spans="4:9" ht="14.4" customHeight="1" x14ac:dyDescent="0.3">
      <c r="F3745">
        <v>2400</v>
      </c>
      <c r="G3745">
        <v>660</v>
      </c>
      <c r="H3745" s="114">
        <v>126070</v>
      </c>
      <c r="I3745" s="114">
        <v>132250</v>
      </c>
    </row>
    <row r="3746" spans="4:9" ht="14.4" customHeight="1" x14ac:dyDescent="0.3">
      <c r="E3746">
        <v>2700</v>
      </c>
      <c r="F3746">
        <v>2200</v>
      </c>
      <c r="G3746">
        <v>660</v>
      </c>
      <c r="H3746" s="114">
        <v>110980</v>
      </c>
      <c r="I3746" s="114">
        <v>116510</v>
      </c>
    </row>
    <row r="3747" spans="4:9" ht="14.4" customHeight="1" x14ac:dyDescent="0.3">
      <c r="F3747">
        <v>2400</v>
      </c>
      <c r="G3747">
        <v>660</v>
      </c>
      <c r="H3747" s="114">
        <v>129630</v>
      </c>
      <c r="I3747" s="114">
        <v>136220</v>
      </c>
    </row>
    <row r="3748" spans="4:9" ht="14.4" customHeight="1" x14ac:dyDescent="0.3">
      <c r="E3748">
        <v>3000</v>
      </c>
      <c r="F3748">
        <v>2200</v>
      </c>
      <c r="G3748">
        <v>660</v>
      </c>
      <c r="H3748" s="114">
        <v>114520</v>
      </c>
      <c r="I3748" s="114">
        <v>120480</v>
      </c>
    </row>
    <row r="3749" spans="4:9" ht="14.4" customHeight="1" x14ac:dyDescent="0.3">
      <c r="F3749">
        <v>2400</v>
      </c>
      <c r="G3749">
        <v>660</v>
      </c>
      <c r="H3749" s="114">
        <v>134940</v>
      </c>
      <c r="I3749" s="114">
        <v>142180</v>
      </c>
    </row>
    <row r="3750" spans="4:9" ht="14.4" customHeight="1" x14ac:dyDescent="0.3">
      <c r="D3750" t="s">
        <v>664</v>
      </c>
      <c r="E3750">
        <v>2400</v>
      </c>
      <c r="F3750">
        <v>2200</v>
      </c>
      <c r="G3750">
        <v>660</v>
      </c>
      <c r="H3750" s="114">
        <v>107420</v>
      </c>
      <c r="I3750" s="114">
        <v>112530</v>
      </c>
    </row>
    <row r="3751" spans="4:9" ht="14.4" customHeight="1" x14ac:dyDescent="0.3">
      <c r="F3751">
        <v>2400</v>
      </c>
      <c r="G3751">
        <v>660</v>
      </c>
      <c r="H3751" s="114">
        <v>126070</v>
      </c>
      <c r="I3751" s="114">
        <v>132250</v>
      </c>
    </row>
    <row r="3752" spans="4:9" ht="14.4" customHeight="1" x14ac:dyDescent="0.3">
      <c r="E3752">
        <v>2700</v>
      </c>
      <c r="F3752">
        <v>2200</v>
      </c>
      <c r="G3752">
        <v>660</v>
      </c>
      <c r="H3752" s="114">
        <v>110980</v>
      </c>
      <c r="I3752" s="114">
        <v>116510</v>
      </c>
    </row>
    <row r="3753" spans="4:9" ht="14.4" customHeight="1" x14ac:dyDescent="0.3">
      <c r="F3753">
        <v>2400</v>
      </c>
      <c r="G3753">
        <v>660</v>
      </c>
      <c r="H3753" s="114">
        <v>129630</v>
      </c>
      <c r="I3753" s="114">
        <v>136220</v>
      </c>
    </row>
    <row r="3754" spans="4:9" ht="14.4" customHeight="1" x14ac:dyDescent="0.3">
      <c r="E3754">
        <v>3000</v>
      </c>
      <c r="F3754">
        <v>2200</v>
      </c>
      <c r="G3754">
        <v>660</v>
      </c>
      <c r="H3754" s="114">
        <v>114520</v>
      </c>
      <c r="I3754" s="114">
        <v>120480</v>
      </c>
    </row>
    <row r="3755" spans="4:9" ht="14.4" customHeight="1" x14ac:dyDescent="0.3">
      <c r="F3755">
        <v>2400</v>
      </c>
      <c r="G3755">
        <v>660</v>
      </c>
      <c r="H3755" s="114">
        <v>134940</v>
      </c>
      <c r="I3755" s="114">
        <v>142180</v>
      </c>
    </row>
    <row r="3756" spans="4:9" ht="14.4" customHeight="1" x14ac:dyDescent="0.3">
      <c r="D3756" t="s">
        <v>665</v>
      </c>
      <c r="E3756">
        <v>2400</v>
      </c>
      <c r="F3756">
        <v>2200</v>
      </c>
      <c r="G3756">
        <v>660</v>
      </c>
      <c r="H3756" s="114">
        <v>91010</v>
      </c>
      <c r="I3756" s="114">
        <v>96120</v>
      </c>
    </row>
    <row r="3757" spans="4:9" ht="14.4" customHeight="1" x14ac:dyDescent="0.3">
      <c r="F3757">
        <v>2400</v>
      </c>
      <c r="G3757">
        <v>660</v>
      </c>
      <c r="H3757" s="114">
        <v>105670</v>
      </c>
      <c r="I3757" s="114">
        <v>111850</v>
      </c>
    </row>
    <row r="3758" spans="4:9" ht="14.4" customHeight="1" x14ac:dyDescent="0.3">
      <c r="E3758">
        <v>2700</v>
      </c>
      <c r="F3758">
        <v>2200</v>
      </c>
      <c r="G3758">
        <v>660</v>
      </c>
      <c r="H3758" s="114">
        <v>94570</v>
      </c>
      <c r="I3758" s="114">
        <v>100100</v>
      </c>
    </row>
    <row r="3759" spans="4:9" ht="14.4" customHeight="1" x14ac:dyDescent="0.3">
      <c r="F3759">
        <v>2400</v>
      </c>
      <c r="G3759">
        <v>660</v>
      </c>
      <c r="H3759" s="114">
        <v>109230</v>
      </c>
      <c r="I3759" s="114">
        <v>115820</v>
      </c>
    </row>
    <row r="3760" spans="4:9" ht="14.4" customHeight="1" x14ac:dyDescent="0.3">
      <c r="E3760">
        <v>3000</v>
      </c>
      <c r="F3760">
        <v>2200</v>
      </c>
      <c r="G3760">
        <v>660</v>
      </c>
      <c r="H3760" s="114">
        <v>98110</v>
      </c>
      <c r="I3760" s="114">
        <v>104070</v>
      </c>
    </row>
    <row r="3761" spans="4:9" ht="14.4" customHeight="1" x14ac:dyDescent="0.3">
      <c r="F3761">
        <v>2400</v>
      </c>
      <c r="G3761">
        <v>660</v>
      </c>
      <c r="H3761" s="114">
        <v>114540</v>
      </c>
      <c r="I3761" s="114">
        <v>121780</v>
      </c>
    </row>
    <row r="3762" spans="4:9" ht="14.4" customHeight="1" x14ac:dyDescent="0.3">
      <c r="D3762" t="s">
        <v>666</v>
      </c>
      <c r="E3762">
        <v>2400</v>
      </c>
      <c r="F3762">
        <v>2200</v>
      </c>
      <c r="G3762">
        <v>660</v>
      </c>
      <c r="H3762" s="114">
        <v>78110</v>
      </c>
      <c r="I3762" s="114">
        <v>83220</v>
      </c>
    </row>
    <row r="3763" spans="4:9" ht="14.4" customHeight="1" x14ac:dyDescent="0.3">
      <c r="F3763">
        <v>2400</v>
      </c>
      <c r="G3763">
        <v>660</v>
      </c>
      <c r="H3763" s="114">
        <v>89200</v>
      </c>
      <c r="I3763" s="114">
        <v>95380</v>
      </c>
    </row>
    <row r="3764" spans="4:9" ht="14.4" customHeight="1" x14ac:dyDescent="0.3">
      <c r="E3764">
        <v>2700</v>
      </c>
      <c r="F3764">
        <v>2200</v>
      </c>
      <c r="G3764">
        <v>660</v>
      </c>
      <c r="H3764" s="114">
        <v>81670</v>
      </c>
      <c r="I3764" s="114">
        <v>87200</v>
      </c>
    </row>
    <row r="3765" spans="4:9" ht="14.4" customHeight="1" x14ac:dyDescent="0.3">
      <c r="F3765">
        <v>2400</v>
      </c>
      <c r="G3765">
        <v>660</v>
      </c>
      <c r="H3765" s="114">
        <v>92760</v>
      </c>
      <c r="I3765" s="114">
        <v>99350</v>
      </c>
    </row>
    <row r="3766" spans="4:9" ht="14.4" customHeight="1" x14ac:dyDescent="0.3">
      <c r="E3766">
        <v>3000</v>
      </c>
      <c r="F3766">
        <v>2200</v>
      </c>
      <c r="G3766">
        <v>660</v>
      </c>
      <c r="H3766" s="114">
        <v>85210</v>
      </c>
      <c r="I3766" s="114">
        <v>91170</v>
      </c>
    </row>
    <row r="3767" spans="4:9" ht="14.4" customHeight="1" x14ac:dyDescent="0.3">
      <c r="F3767">
        <v>2400</v>
      </c>
      <c r="G3767">
        <v>660</v>
      </c>
      <c r="H3767" s="114">
        <v>98070</v>
      </c>
      <c r="I3767" s="114">
        <v>105310</v>
      </c>
    </row>
    <row r="3768" spans="4:9" ht="14.4" customHeight="1" x14ac:dyDescent="0.3">
      <c r="D3768" t="s">
        <v>667</v>
      </c>
      <c r="E3768">
        <v>2400</v>
      </c>
      <c r="F3768">
        <v>2200</v>
      </c>
      <c r="G3768">
        <v>660</v>
      </c>
      <c r="H3768" s="114">
        <v>91010</v>
      </c>
      <c r="I3768" s="114">
        <v>96120</v>
      </c>
    </row>
    <row r="3769" spans="4:9" ht="14.4" customHeight="1" x14ac:dyDescent="0.3">
      <c r="F3769">
        <v>2400</v>
      </c>
      <c r="G3769">
        <v>660</v>
      </c>
      <c r="H3769" s="114">
        <v>105670</v>
      </c>
      <c r="I3769" s="114">
        <v>111850</v>
      </c>
    </row>
    <row r="3770" spans="4:9" ht="14.4" customHeight="1" x14ac:dyDescent="0.3">
      <c r="E3770">
        <v>2700</v>
      </c>
      <c r="F3770">
        <v>2200</v>
      </c>
      <c r="G3770">
        <v>660</v>
      </c>
      <c r="H3770" s="114">
        <v>94570</v>
      </c>
      <c r="I3770" s="114">
        <v>100100</v>
      </c>
    </row>
    <row r="3771" spans="4:9" ht="14.4" customHeight="1" x14ac:dyDescent="0.3">
      <c r="F3771">
        <v>2400</v>
      </c>
      <c r="G3771">
        <v>660</v>
      </c>
      <c r="H3771" s="114">
        <v>109230</v>
      </c>
      <c r="I3771" s="114">
        <v>115820</v>
      </c>
    </row>
    <row r="3772" spans="4:9" ht="14.4" customHeight="1" x14ac:dyDescent="0.3">
      <c r="E3772">
        <v>3000</v>
      </c>
      <c r="F3772">
        <v>2200</v>
      </c>
      <c r="G3772">
        <v>660</v>
      </c>
      <c r="H3772" s="114">
        <v>98110</v>
      </c>
      <c r="I3772" s="114">
        <v>104070</v>
      </c>
    </row>
    <row r="3773" spans="4:9" ht="14.4" customHeight="1" x14ac:dyDescent="0.3">
      <c r="F3773">
        <v>2400</v>
      </c>
      <c r="G3773">
        <v>660</v>
      </c>
      <c r="H3773" s="114">
        <v>114540</v>
      </c>
      <c r="I3773" s="114">
        <v>121780</v>
      </c>
    </row>
    <row r="3774" spans="4:9" ht="14.4" customHeight="1" x14ac:dyDescent="0.3">
      <c r="D3774" t="s">
        <v>668</v>
      </c>
      <c r="E3774">
        <v>2400</v>
      </c>
      <c r="F3774">
        <v>2200</v>
      </c>
      <c r="G3774">
        <v>660</v>
      </c>
      <c r="H3774" s="114">
        <v>91010</v>
      </c>
      <c r="I3774" s="114">
        <v>96120</v>
      </c>
    </row>
    <row r="3775" spans="4:9" ht="14.4" customHeight="1" x14ac:dyDescent="0.3">
      <c r="F3775">
        <v>2400</v>
      </c>
      <c r="G3775">
        <v>660</v>
      </c>
      <c r="H3775" s="114">
        <v>105670</v>
      </c>
      <c r="I3775" s="114">
        <v>111850</v>
      </c>
    </row>
    <row r="3776" spans="4:9" ht="14.4" customHeight="1" x14ac:dyDescent="0.3">
      <c r="E3776">
        <v>2700</v>
      </c>
      <c r="F3776">
        <v>2200</v>
      </c>
      <c r="G3776">
        <v>660</v>
      </c>
      <c r="H3776" s="114">
        <v>94570</v>
      </c>
      <c r="I3776" s="114">
        <v>100100</v>
      </c>
    </row>
    <row r="3777" spans="4:9" ht="14.4" customHeight="1" x14ac:dyDescent="0.3">
      <c r="F3777">
        <v>2400</v>
      </c>
      <c r="G3777">
        <v>660</v>
      </c>
      <c r="H3777" s="114">
        <v>109230</v>
      </c>
      <c r="I3777" s="114">
        <v>115820</v>
      </c>
    </row>
    <row r="3778" spans="4:9" ht="14.4" customHeight="1" x14ac:dyDescent="0.3">
      <c r="E3778">
        <v>3000</v>
      </c>
      <c r="F3778">
        <v>2200</v>
      </c>
      <c r="G3778">
        <v>660</v>
      </c>
      <c r="H3778" s="114">
        <v>98110</v>
      </c>
      <c r="I3778" s="114">
        <v>104070</v>
      </c>
    </row>
    <row r="3779" spans="4:9" ht="14.4" customHeight="1" x14ac:dyDescent="0.3">
      <c r="F3779">
        <v>2400</v>
      </c>
      <c r="G3779">
        <v>660</v>
      </c>
      <c r="H3779" s="114">
        <v>114540</v>
      </c>
      <c r="I3779" s="114">
        <v>121780</v>
      </c>
    </row>
    <row r="3780" spans="4:9" ht="14.4" customHeight="1" x14ac:dyDescent="0.3">
      <c r="D3780" t="s">
        <v>669</v>
      </c>
      <c r="E3780">
        <v>2400</v>
      </c>
      <c r="F3780">
        <v>2200</v>
      </c>
      <c r="G3780">
        <v>660</v>
      </c>
      <c r="H3780" s="114">
        <v>91010</v>
      </c>
      <c r="I3780" s="114">
        <v>96120</v>
      </c>
    </row>
    <row r="3781" spans="4:9" ht="14.4" customHeight="1" x14ac:dyDescent="0.3">
      <c r="F3781">
        <v>2400</v>
      </c>
      <c r="G3781">
        <v>660</v>
      </c>
      <c r="H3781" s="114">
        <v>105670</v>
      </c>
      <c r="I3781" s="114">
        <v>111850</v>
      </c>
    </row>
    <row r="3782" spans="4:9" ht="14.4" customHeight="1" x14ac:dyDescent="0.3">
      <c r="E3782">
        <v>2700</v>
      </c>
      <c r="F3782">
        <v>2200</v>
      </c>
      <c r="G3782">
        <v>660</v>
      </c>
      <c r="H3782" s="114">
        <v>94570</v>
      </c>
      <c r="I3782" s="114">
        <v>100100</v>
      </c>
    </row>
    <row r="3783" spans="4:9" ht="14.4" customHeight="1" x14ac:dyDescent="0.3">
      <c r="F3783">
        <v>2400</v>
      </c>
      <c r="G3783">
        <v>660</v>
      </c>
      <c r="H3783" s="114">
        <v>109230</v>
      </c>
      <c r="I3783" s="114">
        <v>115820</v>
      </c>
    </row>
    <row r="3784" spans="4:9" ht="14.4" customHeight="1" x14ac:dyDescent="0.3">
      <c r="E3784">
        <v>3000</v>
      </c>
      <c r="F3784">
        <v>2200</v>
      </c>
      <c r="G3784">
        <v>660</v>
      </c>
      <c r="H3784" s="114">
        <v>98110</v>
      </c>
      <c r="I3784" s="114">
        <v>104070</v>
      </c>
    </row>
    <row r="3785" spans="4:9" ht="14.4" customHeight="1" x14ac:dyDescent="0.3">
      <c r="F3785">
        <v>2400</v>
      </c>
      <c r="G3785">
        <v>660</v>
      </c>
      <c r="H3785" s="114">
        <v>114540</v>
      </c>
      <c r="I3785" s="114">
        <v>121780</v>
      </c>
    </row>
    <row r="3786" spans="4:9" ht="14.4" customHeight="1" x14ac:dyDescent="0.3">
      <c r="D3786" t="s">
        <v>670</v>
      </c>
      <c r="E3786">
        <v>2400</v>
      </c>
      <c r="F3786">
        <v>2200</v>
      </c>
      <c r="G3786">
        <v>660</v>
      </c>
      <c r="H3786" s="114">
        <v>78110</v>
      </c>
      <c r="I3786" s="114">
        <v>83220</v>
      </c>
    </row>
    <row r="3787" spans="4:9" ht="14.4" customHeight="1" x14ac:dyDescent="0.3">
      <c r="F3787">
        <v>2400</v>
      </c>
      <c r="G3787">
        <v>660</v>
      </c>
      <c r="H3787" s="114">
        <v>89200</v>
      </c>
      <c r="I3787" s="114">
        <v>95380</v>
      </c>
    </row>
    <row r="3788" spans="4:9" ht="14.4" customHeight="1" x14ac:dyDescent="0.3">
      <c r="E3788">
        <v>2700</v>
      </c>
      <c r="F3788">
        <v>2200</v>
      </c>
      <c r="G3788">
        <v>660</v>
      </c>
      <c r="H3788" s="114">
        <v>81670</v>
      </c>
      <c r="I3788" s="114">
        <v>87200</v>
      </c>
    </row>
    <row r="3789" spans="4:9" ht="14.4" customHeight="1" x14ac:dyDescent="0.3">
      <c r="F3789">
        <v>2400</v>
      </c>
      <c r="G3789">
        <v>660</v>
      </c>
      <c r="H3789" s="114">
        <v>92760</v>
      </c>
      <c r="I3789" s="114">
        <v>99350</v>
      </c>
    </row>
    <row r="3790" spans="4:9" ht="14.4" customHeight="1" x14ac:dyDescent="0.3">
      <c r="E3790">
        <v>3000</v>
      </c>
      <c r="F3790">
        <v>2200</v>
      </c>
      <c r="G3790">
        <v>660</v>
      </c>
      <c r="H3790" s="114">
        <v>85210</v>
      </c>
      <c r="I3790" s="114">
        <v>91170</v>
      </c>
    </row>
    <row r="3791" spans="4:9" ht="14.4" customHeight="1" x14ac:dyDescent="0.3">
      <c r="F3791">
        <v>2400</v>
      </c>
      <c r="G3791">
        <v>660</v>
      </c>
      <c r="H3791" s="114">
        <v>98070</v>
      </c>
      <c r="I3791" s="114">
        <v>105310</v>
      </c>
    </row>
    <row r="3792" spans="4:9" ht="14.4" customHeight="1" x14ac:dyDescent="0.3">
      <c r="D3792" t="s">
        <v>671</v>
      </c>
      <c r="E3792">
        <v>2400</v>
      </c>
      <c r="F3792">
        <v>2200</v>
      </c>
      <c r="G3792">
        <v>660</v>
      </c>
      <c r="H3792" s="114">
        <v>83030</v>
      </c>
      <c r="I3792" s="114">
        <v>89100</v>
      </c>
    </row>
    <row r="3793" spans="4:9" ht="14.4" customHeight="1" x14ac:dyDescent="0.3">
      <c r="F3793">
        <v>2400</v>
      </c>
      <c r="G3793">
        <v>660</v>
      </c>
      <c r="H3793" s="114">
        <v>96790</v>
      </c>
      <c r="I3793" s="114">
        <v>103930</v>
      </c>
    </row>
    <row r="3794" spans="4:9" ht="14.4" customHeight="1" x14ac:dyDescent="0.3">
      <c r="E3794">
        <v>2700</v>
      </c>
      <c r="F3794">
        <v>2200</v>
      </c>
      <c r="G3794">
        <v>660</v>
      </c>
      <c r="H3794" s="114">
        <v>86590</v>
      </c>
      <c r="I3794" s="114">
        <v>93080</v>
      </c>
    </row>
    <row r="3795" spans="4:9" ht="14.4" customHeight="1" x14ac:dyDescent="0.3">
      <c r="F3795">
        <v>2400</v>
      </c>
      <c r="G3795">
        <v>660</v>
      </c>
      <c r="H3795" s="114">
        <v>100350</v>
      </c>
      <c r="I3795" s="114">
        <v>107900</v>
      </c>
    </row>
    <row r="3796" spans="4:9" ht="14.4" customHeight="1" x14ac:dyDescent="0.3">
      <c r="E3796">
        <v>3000</v>
      </c>
      <c r="F3796">
        <v>2200</v>
      </c>
      <c r="G3796">
        <v>660</v>
      </c>
      <c r="H3796" s="114">
        <v>90130</v>
      </c>
      <c r="I3796" s="114">
        <v>97050</v>
      </c>
    </row>
    <row r="3797" spans="4:9" ht="14.4" customHeight="1" x14ac:dyDescent="0.3">
      <c r="F3797">
        <v>2400</v>
      </c>
      <c r="G3797">
        <v>660</v>
      </c>
      <c r="H3797" s="114">
        <v>105660</v>
      </c>
      <c r="I3797" s="114">
        <v>113860</v>
      </c>
    </row>
    <row r="3798" spans="4:9" ht="14.4" customHeight="1" x14ac:dyDescent="0.3">
      <c r="D3798" t="s">
        <v>672</v>
      </c>
      <c r="E3798">
        <v>2400</v>
      </c>
      <c r="F3798">
        <v>2200</v>
      </c>
      <c r="G3798">
        <v>660</v>
      </c>
      <c r="H3798" s="114">
        <v>70130</v>
      </c>
      <c r="I3798" s="114">
        <v>76200</v>
      </c>
    </row>
    <row r="3799" spans="4:9" ht="14.4" customHeight="1" x14ac:dyDescent="0.3">
      <c r="F3799">
        <v>2400</v>
      </c>
      <c r="G3799">
        <v>660</v>
      </c>
      <c r="H3799" s="114">
        <v>80320</v>
      </c>
      <c r="I3799" s="114">
        <v>87460</v>
      </c>
    </row>
    <row r="3800" spans="4:9" ht="14.4" customHeight="1" x14ac:dyDescent="0.3">
      <c r="E3800">
        <v>2700</v>
      </c>
      <c r="F3800">
        <v>2200</v>
      </c>
      <c r="G3800">
        <v>660</v>
      </c>
      <c r="H3800" s="114">
        <v>73690</v>
      </c>
      <c r="I3800" s="114">
        <v>80180</v>
      </c>
    </row>
    <row r="3801" spans="4:9" ht="14.4" customHeight="1" x14ac:dyDescent="0.3">
      <c r="F3801">
        <v>2400</v>
      </c>
      <c r="G3801">
        <v>660</v>
      </c>
      <c r="H3801" s="114">
        <v>83880</v>
      </c>
      <c r="I3801" s="114">
        <v>91430</v>
      </c>
    </row>
    <row r="3802" spans="4:9" ht="14.4" customHeight="1" x14ac:dyDescent="0.3">
      <c r="E3802">
        <v>3000</v>
      </c>
      <c r="F3802">
        <v>2200</v>
      </c>
      <c r="G3802">
        <v>660</v>
      </c>
      <c r="H3802" s="114">
        <v>77230</v>
      </c>
      <c r="I3802" s="114">
        <v>84150</v>
      </c>
    </row>
    <row r="3803" spans="4:9" ht="14.4" customHeight="1" x14ac:dyDescent="0.3">
      <c r="F3803">
        <v>2400</v>
      </c>
      <c r="G3803">
        <v>660</v>
      </c>
      <c r="H3803" s="114">
        <v>89190</v>
      </c>
      <c r="I3803" s="114">
        <v>97390</v>
      </c>
    </row>
    <row r="3804" spans="4:9" ht="14.4" customHeight="1" x14ac:dyDescent="0.3">
      <c r="D3804" t="s">
        <v>673</v>
      </c>
      <c r="E3804">
        <v>2400</v>
      </c>
      <c r="F3804">
        <v>2200</v>
      </c>
      <c r="G3804">
        <v>660</v>
      </c>
      <c r="H3804" s="114">
        <v>66620</v>
      </c>
      <c r="I3804" s="114">
        <v>72690</v>
      </c>
    </row>
    <row r="3805" spans="4:9" ht="14.4" customHeight="1" x14ac:dyDescent="0.3">
      <c r="F3805">
        <v>2400</v>
      </c>
      <c r="G3805">
        <v>660</v>
      </c>
      <c r="H3805" s="114">
        <v>76390</v>
      </c>
      <c r="I3805" s="114">
        <v>83530</v>
      </c>
    </row>
    <row r="3806" spans="4:9" ht="14.4" customHeight="1" x14ac:dyDescent="0.3">
      <c r="E3806">
        <v>2700</v>
      </c>
      <c r="F3806">
        <v>2200</v>
      </c>
      <c r="G3806">
        <v>660</v>
      </c>
      <c r="H3806" s="114">
        <v>70180</v>
      </c>
      <c r="I3806" s="114">
        <v>76670</v>
      </c>
    </row>
    <row r="3807" spans="4:9" ht="14.4" customHeight="1" x14ac:dyDescent="0.3">
      <c r="F3807">
        <v>2400</v>
      </c>
      <c r="G3807">
        <v>660</v>
      </c>
      <c r="H3807" s="114">
        <v>79950</v>
      </c>
      <c r="I3807" s="114">
        <v>87500</v>
      </c>
    </row>
    <row r="3808" spans="4:9" ht="14.4" customHeight="1" x14ac:dyDescent="0.3">
      <c r="E3808">
        <v>3000</v>
      </c>
      <c r="F3808">
        <v>2200</v>
      </c>
      <c r="G3808">
        <v>660</v>
      </c>
      <c r="H3808" s="114">
        <v>73720</v>
      </c>
      <c r="I3808" s="114">
        <v>80640</v>
      </c>
    </row>
    <row r="3809" spans="4:9" ht="14.4" customHeight="1" x14ac:dyDescent="0.3">
      <c r="F3809">
        <v>2400</v>
      </c>
      <c r="G3809">
        <v>660</v>
      </c>
      <c r="H3809" s="114">
        <v>85260</v>
      </c>
      <c r="I3809" s="114">
        <v>93460</v>
      </c>
    </row>
    <row r="3810" spans="4:9" ht="14.4" customHeight="1" x14ac:dyDescent="0.3">
      <c r="D3810" t="s">
        <v>674</v>
      </c>
      <c r="E3810">
        <v>2400</v>
      </c>
      <c r="F3810">
        <v>2200</v>
      </c>
      <c r="G3810">
        <v>660</v>
      </c>
      <c r="H3810" s="114">
        <v>83030</v>
      </c>
      <c r="I3810" s="114">
        <v>89100</v>
      </c>
    </row>
    <row r="3811" spans="4:9" ht="14.4" customHeight="1" x14ac:dyDescent="0.3">
      <c r="F3811">
        <v>2400</v>
      </c>
      <c r="G3811">
        <v>660</v>
      </c>
      <c r="H3811" s="114">
        <v>96790</v>
      </c>
      <c r="I3811" s="114">
        <v>103930</v>
      </c>
    </row>
    <row r="3812" spans="4:9" ht="14.4" customHeight="1" x14ac:dyDescent="0.3">
      <c r="E3812">
        <v>2700</v>
      </c>
      <c r="F3812">
        <v>2200</v>
      </c>
      <c r="G3812">
        <v>660</v>
      </c>
      <c r="H3812" s="114">
        <v>86590</v>
      </c>
      <c r="I3812" s="114">
        <v>93080</v>
      </c>
    </row>
    <row r="3813" spans="4:9" ht="14.4" customHeight="1" x14ac:dyDescent="0.3">
      <c r="F3813">
        <v>2400</v>
      </c>
      <c r="G3813">
        <v>660</v>
      </c>
      <c r="H3813" s="114">
        <v>100350</v>
      </c>
      <c r="I3813" s="114">
        <v>107900</v>
      </c>
    </row>
    <row r="3814" spans="4:9" ht="14.4" customHeight="1" x14ac:dyDescent="0.3">
      <c r="E3814">
        <v>3000</v>
      </c>
      <c r="F3814">
        <v>2200</v>
      </c>
      <c r="G3814">
        <v>660</v>
      </c>
      <c r="H3814" s="114">
        <v>90130</v>
      </c>
      <c r="I3814" s="114">
        <v>97050</v>
      </c>
    </row>
    <row r="3815" spans="4:9" ht="14.4" customHeight="1" x14ac:dyDescent="0.3">
      <c r="F3815">
        <v>2400</v>
      </c>
      <c r="G3815">
        <v>660</v>
      </c>
      <c r="H3815" s="114">
        <v>105660</v>
      </c>
      <c r="I3815" s="114">
        <v>113860</v>
      </c>
    </row>
    <row r="3816" spans="4:9" ht="14.4" customHeight="1" x14ac:dyDescent="0.3">
      <c r="D3816" t="s">
        <v>675</v>
      </c>
      <c r="E3816">
        <v>2400</v>
      </c>
      <c r="F3816">
        <v>2200</v>
      </c>
      <c r="G3816">
        <v>660</v>
      </c>
      <c r="H3816" s="114">
        <v>83030</v>
      </c>
      <c r="I3816" s="114">
        <v>89100</v>
      </c>
    </row>
    <row r="3817" spans="4:9" ht="14.4" customHeight="1" x14ac:dyDescent="0.3">
      <c r="F3817">
        <v>2400</v>
      </c>
      <c r="G3817">
        <v>660</v>
      </c>
      <c r="H3817" s="114">
        <v>96790</v>
      </c>
      <c r="I3817" s="114">
        <v>103930</v>
      </c>
    </row>
    <row r="3818" spans="4:9" ht="14.4" customHeight="1" x14ac:dyDescent="0.3">
      <c r="E3818">
        <v>2700</v>
      </c>
      <c r="F3818">
        <v>2200</v>
      </c>
      <c r="G3818">
        <v>660</v>
      </c>
      <c r="H3818" s="114">
        <v>86590</v>
      </c>
      <c r="I3818" s="114">
        <v>93080</v>
      </c>
    </row>
    <row r="3819" spans="4:9" ht="14.4" customHeight="1" x14ac:dyDescent="0.3">
      <c r="F3819">
        <v>2400</v>
      </c>
      <c r="G3819">
        <v>660</v>
      </c>
      <c r="H3819" s="114">
        <v>100350</v>
      </c>
      <c r="I3819" s="114">
        <v>107900</v>
      </c>
    </row>
    <row r="3820" spans="4:9" ht="14.4" customHeight="1" x14ac:dyDescent="0.3">
      <c r="E3820">
        <v>3000</v>
      </c>
      <c r="F3820">
        <v>2200</v>
      </c>
      <c r="G3820">
        <v>660</v>
      </c>
      <c r="H3820" s="114">
        <v>90130</v>
      </c>
      <c r="I3820" s="114">
        <v>97050</v>
      </c>
    </row>
    <row r="3821" spans="4:9" ht="14.4" customHeight="1" x14ac:dyDescent="0.3">
      <c r="F3821">
        <v>2400</v>
      </c>
      <c r="G3821">
        <v>660</v>
      </c>
      <c r="H3821" s="114">
        <v>105660</v>
      </c>
      <c r="I3821" s="114">
        <v>113860</v>
      </c>
    </row>
    <row r="3822" spans="4:9" ht="14.4" customHeight="1" x14ac:dyDescent="0.3">
      <c r="D3822" t="s">
        <v>676</v>
      </c>
      <c r="E3822">
        <v>2400</v>
      </c>
      <c r="F3822">
        <v>2200</v>
      </c>
      <c r="G3822">
        <v>660</v>
      </c>
      <c r="H3822" s="114">
        <v>83030</v>
      </c>
      <c r="I3822" s="114">
        <v>89100</v>
      </c>
    </row>
    <row r="3823" spans="4:9" ht="14.4" customHeight="1" x14ac:dyDescent="0.3">
      <c r="F3823">
        <v>2400</v>
      </c>
      <c r="G3823">
        <v>660</v>
      </c>
      <c r="H3823" s="114">
        <v>96790</v>
      </c>
      <c r="I3823" s="114">
        <v>103930</v>
      </c>
    </row>
    <row r="3824" spans="4:9" ht="14.4" customHeight="1" x14ac:dyDescent="0.3">
      <c r="E3824">
        <v>2700</v>
      </c>
      <c r="F3824">
        <v>2200</v>
      </c>
      <c r="G3824">
        <v>660</v>
      </c>
      <c r="H3824" s="114">
        <v>86590</v>
      </c>
      <c r="I3824" s="114">
        <v>93080</v>
      </c>
    </row>
    <row r="3825" spans="4:9" ht="14.4" customHeight="1" x14ac:dyDescent="0.3">
      <c r="F3825">
        <v>2400</v>
      </c>
      <c r="G3825">
        <v>660</v>
      </c>
      <c r="H3825" s="114">
        <v>100350</v>
      </c>
      <c r="I3825" s="114">
        <v>107900</v>
      </c>
    </row>
    <row r="3826" spans="4:9" ht="14.4" customHeight="1" x14ac:dyDescent="0.3">
      <c r="E3826">
        <v>3000</v>
      </c>
      <c r="F3826">
        <v>2200</v>
      </c>
      <c r="G3826">
        <v>660</v>
      </c>
      <c r="H3826" s="114">
        <v>90130</v>
      </c>
      <c r="I3826" s="114">
        <v>97050</v>
      </c>
    </row>
    <row r="3827" spans="4:9" ht="14.4" customHeight="1" x14ac:dyDescent="0.3">
      <c r="F3827">
        <v>2400</v>
      </c>
      <c r="G3827">
        <v>660</v>
      </c>
      <c r="H3827" s="114">
        <v>105660</v>
      </c>
      <c r="I3827" s="114">
        <v>113860</v>
      </c>
    </row>
    <row r="3828" spans="4:9" ht="14.4" customHeight="1" x14ac:dyDescent="0.3">
      <c r="D3828" t="s">
        <v>677</v>
      </c>
      <c r="E3828">
        <v>2400</v>
      </c>
      <c r="F3828">
        <v>2200</v>
      </c>
      <c r="G3828">
        <v>660</v>
      </c>
      <c r="H3828" s="114">
        <v>83030</v>
      </c>
      <c r="I3828" s="114">
        <v>89100</v>
      </c>
    </row>
    <row r="3829" spans="4:9" ht="14.4" customHeight="1" x14ac:dyDescent="0.3">
      <c r="F3829">
        <v>2400</v>
      </c>
      <c r="G3829">
        <v>660</v>
      </c>
      <c r="H3829" s="114">
        <v>96790</v>
      </c>
      <c r="I3829" s="114">
        <v>103930</v>
      </c>
    </row>
    <row r="3830" spans="4:9" ht="14.4" customHeight="1" x14ac:dyDescent="0.3">
      <c r="E3830">
        <v>2700</v>
      </c>
      <c r="F3830">
        <v>2200</v>
      </c>
      <c r="G3830">
        <v>660</v>
      </c>
      <c r="H3830" s="114">
        <v>86590</v>
      </c>
      <c r="I3830" s="114">
        <v>93080</v>
      </c>
    </row>
    <row r="3831" spans="4:9" ht="14.4" customHeight="1" x14ac:dyDescent="0.3">
      <c r="F3831">
        <v>2400</v>
      </c>
      <c r="G3831">
        <v>660</v>
      </c>
      <c r="H3831" s="114">
        <v>100350</v>
      </c>
      <c r="I3831" s="114">
        <v>107900</v>
      </c>
    </row>
    <row r="3832" spans="4:9" ht="14.4" customHeight="1" x14ac:dyDescent="0.3">
      <c r="E3832">
        <v>3000</v>
      </c>
      <c r="F3832">
        <v>2200</v>
      </c>
      <c r="G3832">
        <v>660</v>
      </c>
      <c r="H3832" s="114">
        <v>90130</v>
      </c>
      <c r="I3832" s="114">
        <v>97050</v>
      </c>
    </row>
    <row r="3833" spans="4:9" ht="14.4" customHeight="1" x14ac:dyDescent="0.3">
      <c r="F3833">
        <v>2400</v>
      </c>
      <c r="G3833">
        <v>660</v>
      </c>
      <c r="H3833" s="114">
        <v>105660</v>
      </c>
      <c r="I3833" s="114">
        <v>113860</v>
      </c>
    </row>
    <row r="3834" spans="4:9" ht="14.4" customHeight="1" x14ac:dyDescent="0.3">
      <c r="D3834" t="s">
        <v>678</v>
      </c>
      <c r="E3834">
        <v>2400</v>
      </c>
      <c r="F3834">
        <v>2200</v>
      </c>
      <c r="G3834">
        <v>660</v>
      </c>
      <c r="H3834" s="114">
        <v>70130</v>
      </c>
      <c r="I3834" s="114">
        <v>76200</v>
      </c>
    </row>
    <row r="3835" spans="4:9" ht="14.4" customHeight="1" x14ac:dyDescent="0.3">
      <c r="F3835">
        <v>2400</v>
      </c>
      <c r="G3835">
        <v>660</v>
      </c>
      <c r="H3835" s="114">
        <v>80320</v>
      </c>
      <c r="I3835" s="114">
        <v>87460</v>
      </c>
    </row>
    <row r="3836" spans="4:9" ht="14.4" customHeight="1" x14ac:dyDescent="0.3">
      <c r="E3836">
        <v>2700</v>
      </c>
      <c r="F3836">
        <v>2200</v>
      </c>
      <c r="G3836">
        <v>660</v>
      </c>
      <c r="H3836" s="114">
        <v>73690</v>
      </c>
      <c r="I3836" s="114">
        <v>80180</v>
      </c>
    </row>
    <row r="3837" spans="4:9" ht="14.4" customHeight="1" x14ac:dyDescent="0.3">
      <c r="F3837">
        <v>2400</v>
      </c>
      <c r="G3837">
        <v>660</v>
      </c>
      <c r="H3837" s="114">
        <v>83880</v>
      </c>
      <c r="I3837" s="114">
        <v>91430</v>
      </c>
    </row>
    <row r="3838" spans="4:9" ht="14.4" customHeight="1" x14ac:dyDescent="0.3">
      <c r="E3838">
        <v>3000</v>
      </c>
      <c r="F3838">
        <v>2200</v>
      </c>
      <c r="G3838">
        <v>660</v>
      </c>
      <c r="H3838" s="114">
        <v>77230</v>
      </c>
      <c r="I3838" s="114">
        <v>84150</v>
      </c>
    </row>
    <row r="3839" spans="4:9" ht="14.4" customHeight="1" x14ac:dyDescent="0.3">
      <c r="F3839">
        <v>2400</v>
      </c>
      <c r="G3839">
        <v>660</v>
      </c>
      <c r="H3839" s="114">
        <v>89190</v>
      </c>
      <c r="I3839" s="114">
        <v>97390</v>
      </c>
    </row>
    <row r="3840" spans="4:9" ht="14.4" customHeight="1" x14ac:dyDescent="0.3">
      <c r="D3840" t="s">
        <v>679</v>
      </c>
      <c r="E3840">
        <v>2400</v>
      </c>
      <c r="F3840">
        <v>2200</v>
      </c>
      <c r="G3840">
        <v>660</v>
      </c>
      <c r="H3840" s="114">
        <v>107420</v>
      </c>
      <c r="I3840" s="114">
        <v>112530</v>
      </c>
    </row>
    <row r="3841" spans="4:9" ht="14.4" customHeight="1" x14ac:dyDescent="0.3">
      <c r="F3841">
        <v>2400</v>
      </c>
      <c r="G3841">
        <v>660</v>
      </c>
      <c r="H3841" s="114">
        <v>126070</v>
      </c>
      <c r="I3841" s="114">
        <v>132250</v>
      </c>
    </row>
    <row r="3842" spans="4:9" ht="14.4" customHeight="1" x14ac:dyDescent="0.3">
      <c r="E3842">
        <v>2700</v>
      </c>
      <c r="F3842">
        <v>2200</v>
      </c>
      <c r="G3842">
        <v>660</v>
      </c>
      <c r="H3842" s="114">
        <v>110980</v>
      </c>
      <c r="I3842" s="114">
        <v>116510</v>
      </c>
    </row>
    <row r="3843" spans="4:9" ht="14.4" customHeight="1" x14ac:dyDescent="0.3">
      <c r="F3843">
        <v>2400</v>
      </c>
      <c r="G3843">
        <v>660</v>
      </c>
      <c r="H3843" s="114">
        <v>129630</v>
      </c>
      <c r="I3843" s="114">
        <v>136220</v>
      </c>
    </row>
    <row r="3844" spans="4:9" ht="14.4" customHeight="1" x14ac:dyDescent="0.3">
      <c r="E3844">
        <v>3000</v>
      </c>
      <c r="F3844">
        <v>2200</v>
      </c>
      <c r="G3844">
        <v>660</v>
      </c>
      <c r="H3844" s="114">
        <v>114520</v>
      </c>
      <c r="I3844" s="114">
        <v>120480</v>
      </c>
    </row>
    <row r="3845" spans="4:9" ht="14.4" customHeight="1" x14ac:dyDescent="0.3">
      <c r="F3845">
        <v>2400</v>
      </c>
      <c r="G3845">
        <v>660</v>
      </c>
      <c r="H3845" s="114">
        <v>134940</v>
      </c>
      <c r="I3845" s="114">
        <v>142180</v>
      </c>
    </row>
    <row r="3846" spans="4:9" ht="14.4" customHeight="1" x14ac:dyDescent="0.3">
      <c r="D3846" t="s">
        <v>680</v>
      </c>
      <c r="E3846">
        <v>2400</v>
      </c>
      <c r="F3846">
        <v>2200</v>
      </c>
      <c r="G3846">
        <v>660</v>
      </c>
      <c r="H3846" s="114">
        <v>94520</v>
      </c>
      <c r="I3846" s="114">
        <v>99630</v>
      </c>
    </row>
    <row r="3847" spans="4:9" ht="14.4" customHeight="1" x14ac:dyDescent="0.3">
      <c r="F3847">
        <v>2400</v>
      </c>
      <c r="G3847">
        <v>660</v>
      </c>
      <c r="H3847" s="114">
        <v>109600</v>
      </c>
      <c r="I3847" s="114">
        <v>115780</v>
      </c>
    </row>
    <row r="3848" spans="4:9" ht="14.4" customHeight="1" x14ac:dyDescent="0.3">
      <c r="E3848">
        <v>2700</v>
      </c>
      <c r="F3848">
        <v>2200</v>
      </c>
      <c r="G3848">
        <v>660</v>
      </c>
      <c r="H3848" s="114">
        <v>98080</v>
      </c>
      <c r="I3848" s="114">
        <v>103610</v>
      </c>
    </row>
    <row r="3849" spans="4:9" ht="14.4" customHeight="1" x14ac:dyDescent="0.3">
      <c r="F3849">
        <v>2400</v>
      </c>
      <c r="G3849">
        <v>660</v>
      </c>
      <c r="H3849" s="114">
        <v>113160</v>
      </c>
      <c r="I3849" s="114">
        <v>119750</v>
      </c>
    </row>
    <row r="3850" spans="4:9" ht="14.4" customHeight="1" x14ac:dyDescent="0.3">
      <c r="E3850">
        <v>3000</v>
      </c>
      <c r="F3850">
        <v>2200</v>
      </c>
      <c r="G3850">
        <v>660</v>
      </c>
      <c r="H3850" s="114">
        <v>101620</v>
      </c>
      <c r="I3850" s="114">
        <v>107580</v>
      </c>
    </row>
    <row r="3851" spans="4:9" ht="14.4" customHeight="1" x14ac:dyDescent="0.3">
      <c r="F3851">
        <v>2400</v>
      </c>
      <c r="G3851">
        <v>660</v>
      </c>
      <c r="H3851" s="114">
        <v>118470</v>
      </c>
      <c r="I3851" s="114">
        <v>125710</v>
      </c>
    </row>
    <row r="3852" spans="4:9" ht="14.4" customHeight="1" x14ac:dyDescent="0.3">
      <c r="D3852" t="s">
        <v>681</v>
      </c>
      <c r="E3852">
        <v>2400</v>
      </c>
      <c r="F3852">
        <v>2200</v>
      </c>
      <c r="G3852">
        <v>660</v>
      </c>
      <c r="H3852" s="114">
        <v>94520</v>
      </c>
      <c r="I3852" s="114">
        <v>99630</v>
      </c>
    </row>
    <row r="3853" spans="4:9" ht="14.4" customHeight="1" x14ac:dyDescent="0.3">
      <c r="F3853">
        <v>2400</v>
      </c>
      <c r="G3853">
        <v>660</v>
      </c>
      <c r="H3853" s="114">
        <v>109600</v>
      </c>
      <c r="I3853" s="114">
        <v>115780</v>
      </c>
    </row>
    <row r="3854" spans="4:9" ht="14.4" customHeight="1" x14ac:dyDescent="0.3">
      <c r="E3854">
        <v>2700</v>
      </c>
      <c r="F3854">
        <v>2200</v>
      </c>
      <c r="G3854">
        <v>660</v>
      </c>
      <c r="H3854" s="114">
        <v>98080</v>
      </c>
      <c r="I3854" s="114">
        <v>103610</v>
      </c>
    </row>
    <row r="3855" spans="4:9" ht="14.4" customHeight="1" x14ac:dyDescent="0.3">
      <c r="F3855">
        <v>2400</v>
      </c>
      <c r="G3855">
        <v>660</v>
      </c>
      <c r="H3855" s="114">
        <v>113160</v>
      </c>
      <c r="I3855" s="114">
        <v>119750</v>
      </c>
    </row>
    <row r="3856" spans="4:9" ht="14.4" customHeight="1" x14ac:dyDescent="0.3">
      <c r="E3856">
        <v>3000</v>
      </c>
      <c r="F3856">
        <v>2200</v>
      </c>
      <c r="G3856">
        <v>660</v>
      </c>
      <c r="H3856" s="114">
        <v>101620</v>
      </c>
      <c r="I3856" s="114">
        <v>107580</v>
      </c>
    </row>
    <row r="3857" spans="4:9" ht="14.4" customHeight="1" x14ac:dyDescent="0.3">
      <c r="F3857">
        <v>2400</v>
      </c>
      <c r="G3857">
        <v>660</v>
      </c>
      <c r="H3857" s="114">
        <v>118470</v>
      </c>
      <c r="I3857" s="114">
        <v>125710</v>
      </c>
    </row>
    <row r="3858" spans="4:9" ht="14.4" customHeight="1" x14ac:dyDescent="0.3">
      <c r="D3858" t="s">
        <v>682</v>
      </c>
      <c r="E3858">
        <v>2400</v>
      </c>
      <c r="F3858">
        <v>2200</v>
      </c>
      <c r="G3858">
        <v>660</v>
      </c>
      <c r="H3858" s="114">
        <v>94520</v>
      </c>
      <c r="I3858" s="114">
        <v>99630</v>
      </c>
    </row>
    <row r="3859" spans="4:9" ht="14.4" customHeight="1" x14ac:dyDescent="0.3">
      <c r="F3859">
        <v>2400</v>
      </c>
      <c r="G3859">
        <v>660</v>
      </c>
      <c r="H3859" s="114">
        <v>109600</v>
      </c>
      <c r="I3859" s="114">
        <v>115780</v>
      </c>
    </row>
    <row r="3860" spans="4:9" ht="14.4" customHeight="1" x14ac:dyDescent="0.3">
      <c r="E3860">
        <v>2700</v>
      </c>
      <c r="F3860">
        <v>2200</v>
      </c>
      <c r="G3860">
        <v>660</v>
      </c>
      <c r="H3860" s="114">
        <v>98080</v>
      </c>
      <c r="I3860" s="114">
        <v>103610</v>
      </c>
    </row>
    <row r="3861" spans="4:9" ht="14.4" customHeight="1" x14ac:dyDescent="0.3">
      <c r="F3861">
        <v>2400</v>
      </c>
      <c r="G3861">
        <v>660</v>
      </c>
      <c r="H3861" s="114">
        <v>113160</v>
      </c>
      <c r="I3861" s="114">
        <v>119750</v>
      </c>
    </row>
    <row r="3862" spans="4:9" ht="14.4" customHeight="1" x14ac:dyDescent="0.3">
      <c r="E3862">
        <v>3000</v>
      </c>
      <c r="F3862">
        <v>2200</v>
      </c>
      <c r="G3862">
        <v>660</v>
      </c>
      <c r="H3862" s="114">
        <v>101620</v>
      </c>
      <c r="I3862" s="114">
        <v>107580</v>
      </c>
    </row>
    <row r="3863" spans="4:9" ht="14.4" customHeight="1" x14ac:dyDescent="0.3">
      <c r="F3863">
        <v>2400</v>
      </c>
      <c r="G3863">
        <v>660</v>
      </c>
      <c r="H3863" s="114">
        <v>118470</v>
      </c>
      <c r="I3863" s="114">
        <v>125710</v>
      </c>
    </row>
    <row r="3864" spans="4:9" ht="14.4" customHeight="1" x14ac:dyDescent="0.3">
      <c r="D3864" t="s">
        <v>683</v>
      </c>
      <c r="E3864">
        <v>2400</v>
      </c>
      <c r="F3864">
        <v>2200</v>
      </c>
      <c r="G3864">
        <v>660</v>
      </c>
      <c r="H3864" s="114">
        <v>94520</v>
      </c>
      <c r="I3864" s="114">
        <v>99630</v>
      </c>
    </row>
    <row r="3865" spans="4:9" ht="14.4" customHeight="1" x14ac:dyDescent="0.3">
      <c r="F3865">
        <v>2400</v>
      </c>
      <c r="G3865">
        <v>660</v>
      </c>
      <c r="H3865" s="114">
        <v>109600</v>
      </c>
      <c r="I3865" s="114">
        <v>115780</v>
      </c>
    </row>
    <row r="3866" spans="4:9" ht="14.4" customHeight="1" x14ac:dyDescent="0.3">
      <c r="E3866">
        <v>2700</v>
      </c>
      <c r="F3866">
        <v>2200</v>
      </c>
      <c r="G3866">
        <v>660</v>
      </c>
      <c r="H3866" s="114">
        <v>98080</v>
      </c>
      <c r="I3866" s="114">
        <v>103610</v>
      </c>
    </row>
    <row r="3867" spans="4:9" ht="14.4" customHeight="1" x14ac:dyDescent="0.3">
      <c r="F3867">
        <v>2400</v>
      </c>
      <c r="G3867">
        <v>660</v>
      </c>
      <c r="H3867" s="114">
        <v>113160</v>
      </c>
      <c r="I3867" s="114">
        <v>119750</v>
      </c>
    </row>
    <row r="3868" spans="4:9" ht="14.4" customHeight="1" x14ac:dyDescent="0.3">
      <c r="E3868">
        <v>3000</v>
      </c>
      <c r="F3868">
        <v>2200</v>
      </c>
      <c r="G3868">
        <v>660</v>
      </c>
      <c r="H3868" s="114">
        <v>101620</v>
      </c>
      <c r="I3868" s="114">
        <v>107580</v>
      </c>
    </row>
    <row r="3869" spans="4:9" ht="14.4" customHeight="1" x14ac:dyDescent="0.3">
      <c r="F3869">
        <v>2400</v>
      </c>
      <c r="G3869">
        <v>660</v>
      </c>
      <c r="H3869" s="114">
        <v>118470</v>
      </c>
      <c r="I3869" s="114">
        <v>125710</v>
      </c>
    </row>
    <row r="3870" spans="4:9" ht="14.4" customHeight="1" x14ac:dyDescent="0.3">
      <c r="D3870" t="s">
        <v>684</v>
      </c>
      <c r="E3870">
        <v>2400</v>
      </c>
      <c r="F3870">
        <v>2200</v>
      </c>
      <c r="G3870">
        <v>660</v>
      </c>
      <c r="H3870" s="114">
        <v>107420</v>
      </c>
      <c r="I3870" s="114">
        <v>112530</v>
      </c>
    </row>
    <row r="3871" spans="4:9" ht="14.4" customHeight="1" x14ac:dyDescent="0.3">
      <c r="F3871">
        <v>2400</v>
      </c>
      <c r="G3871">
        <v>660</v>
      </c>
      <c r="H3871" s="114">
        <v>126070</v>
      </c>
      <c r="I3871" s="114">
        <v>132250</v>
      </c>
    </row>
    <row r="3872" spans="4:9" ht="14.4" customHeight="1" x14ac:dyDescent="0.3">
      <c r="E3872">
        <v>2700</v>
      </c>
      <c r="F3872">
        <v>2200</v>
      </c>
      <c r="G3872">
        <v>660</v>
      </c>
      <c r="H3872" s="114">
        <v>110980</v>
      </c>
      <c r="I3872" s="114">
        <v>116510</v>
      </c>
    </row>
    <row r="3873" spans="2:9" ht="14.4" customHeight="1" x14ac:dyDescent="0.3">
      <c r="F3873">
        <v>2400</v>
      </c>
      <c r="G3873">
        <v>660</v>
      </c>
      <c r="H3873" s="114">
        <v>129630</v>
      </c>
      <c r="I3873" s="114">
        <v>136220</v>
      </c>
    </row>
    <row r="3874" spans="2:9" ht="14.4" customHeight="1" x14ac:dyDescent="0.3">
      <c r="E3874">
        <v>3000</v>
      </c>
      <c r="F3874">
        <v>2200</v>
      </c>
      <c r="G3874">
        <v>660</v>
      </c>
      <c r="H3874" s="114">
        <v>114520</v>
      </c>
      <c r="I3874" s="114">
        <v>120480</v>
      </c>
    </row>
    <row r="3875" spans="2:9" ht="14.4" customHeight="1" x14ac:dyDescent="0.3">
      <c r="F3875">
        <v>2400</v>
      </c>
      <c r="G3875">
        <v>660</v>
      </c>
      <c r="H3875" s="114">
        <v>134940</v>
      </c>
      <c r="I3875" s="114">
        <v>142180</v>
      </c>
    </row>
    <row r="3876" spans="2:9" ht="14.4" customHeight="1" x14ac:dyDescent="0.3">
      <c r="D3876" t="s">
        <v>685</v>
      </c>
      <c r="E3876">
        <v>2400</v>
      </c>
      <c r="F3876">
        <v>2200</v>
      </c>
      <c r="G3876">
        <v>660</v>
      </c>
      <c r="H3876" s="114">
        <v>107420</v>
      </c>
      <c r="I3876" s="114">
        <v>112530</v>
      </c>
    </row>
    <row r="3877" spans="2:9" ht="14.4" customHeight="1" x14ac:dyDescent="0.3">
      <c r="F3877">
        <v>2400</v>
      </c>
      <c r="G3877">
        <v>660</v>
      </c>
      <c r="H3877" s="114">
        <v>126070</v>
      </c>
      <c r="I3877" s="114">
        <v>132250</v>
      </c>
    </row>
    <row r="3878" spans="2:9" ht="14.4" customHeight="1" x14ac:dyDescent="0.3">
      <c r="E3878">
        <v>2700</v>
      </c>
      <c r="F3878">
        <v>2200</v>
      </c>
      <c r="G3878">
        <v>660</v>
      </c>
      <c r="H3878" s="114">
        <v>110980</v>
      </c>
      <c r="I3878" s="114">
        <v>116510</v>
      </c>
    </row>
    <row r="3879" spans="2:9" ht="14.4" customHeight="1" x14ac:dyDescent="0.3">
      <c r="F3879">
        <v>2400</v>
      </c>
      <c r="G3879">
        <v>660</v>
      </c>
      <c r="H3879" s="114">
        <v>129630</v>
      </c>
      <c r="I3879" s="114">
        <v>136220</v>
      </c>
    </row>
    <row r="3880" spans="2:9" ht="14.4" customHeight="1" x14ac:dyDescent="0.3">
      <c r="E3880">
        <v>3000</v>
      </c>
      <c r="F3880">
        <v>2200</v>
      </c>
      <c r="G3880">
        <v>660</v>
      </c>
      <c r="H3880" s="114">
        <v>114520</v>
      </c>
      <c r="I3880" s="114">
        <v>120480</v>
      </c>
    </row>
    <row r="3881" spans="2:9" ht="14.4" customHeight="1" x14ac:dyDescent="0.3">
      <c r="F3881">
        <v>2400</v>
      </c>
      <c r="G3881">
        <v>660</v>
      </c>
      <c r="H3881" s="114">
        <v>134940</v>
      </c>
      <c r="I3881" s="114">
        <v>142180</v>
      </c>
    </row>
    <row r="3882" spans="2:9" ht="14.4" customHeight="1" x14ac:dyDescent="0.3">
      <c r="B3882" t="s">
        <v>686</v>
      </c>
      <c r="C3882" t="s">
        <v>687</v>
      </c>
      <c r="D3882" t="s">
        <v>688</v>
      </c>
      <c r="E3882">
        <v>900</v>
      </c>
      <c r="F3882">
        <v>2200</v>
      </c>
      <c r="G3882">
        <v>900</v>
      </c>
      <c r="H3882" s="114">
        <v>16270</v>
      </c>
      <c r="I3882" s="114">
        <v>17900</v>
      </c>
    </row>
    <row r="3883" spans="2:9" ht="14.4" customHeight="1" x14ac:dyDescent="0.3">
      <c r="F3883">
        <v>2400</v>
      </c>
      <c r="G3883">
        <v>900</v>
      </c>
      <c r="H3883" s="114">
        <v>16920</v>
      </c>
      <c r="I3883" s="114">
        <v>18630</v>
      </c>
    </row>
    <row r="3884" spans="2:9" ht="14.4" customHeight="1" x14ac:dyDescent="0.3">
      <c r="B3884" t="s">
        <v>689</v>
      </c>
      <c r="C3884" t="s">
        <v>111</v>
      </c>
      <c r="D3884" t="s">
        <v>690</v>
      </c>
      <c r="E3884">
        <v>1200</v>
      </c>
      <c r="F3884">
        <v>2200</v>
      </c>
      <c r="G3884">
        <v>525</v>
      </c>
      <c r="H3884" s="114">
        <v>12370</v>
      </c>
      <c r="I3884" s="114">
        <v>13760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2 8 b a e 5 6 - 3 9 9 f - 4 5 7 e - 8 5 2 d - a d a 9 e a 6 4 0 d 6 9 "   x m l n s = " h t t p : / / s c h e m a s . m i c r o s o f t . c o m / D a t a M a s h u p " > A A A A A H w K A A B Q S w M E F A A C A A g A a 4 9 O W c s y x J e k A A A A 9 Q A A A B I A H A B D b 2 5 m a W c v U G F j a 2 F n Z S 5 4 b W w g o h g A K K A U A A A A A A A A A A A A A A A A A A A A A A A A A A A A h Y 8 9 D o I w A I W v Q r r T 1 m o M k l I G V 0 m M R u P a l A q N U E x / L H d z 8 E h e Q Y y i b o 7 v e 9 / w 3 v 1 6 o 3 n f N t F F G q s 6 n Y E J x C C S W n S l 0 l U G v D v G C c g Z X X N x 4 p W M B l n b t L d l B m r n z i l C I Q Q Y p r A z F S I Y T 9 C h W G 1 F L V s O P r L 6 L 8 d K W 8 e 1 k I D R / W s M I 3 A x h 8 m M Q E z R y G i h 9 L c n w 9 x n + w P p 0 j f O G 8 m M j z c 7 i s Z I 0 f s C e w B Q S w M E F A A C A A g A a 4 9 O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u P T l l l i J L 6 d g c A A D J R A A A T A B w A R m 9 y b X V s Y X M v U 2 V j d G l v b j E u b S C i G A A o o B Q A A A A A A A A A A A A A A A A A A A A A A A A A A A D t X N 1 v E 0 c Q f 4 + U / 2 F 1 v N i S a + G U o l Z t K k X p C 6 p U J B K e o s g y 8 d F E s s / U N r R V F M l O E K V N 2 h R K B a I N E E I p L 5 W O J F a M 8 / U v 7 P 1 H n Z k 9 + 3 w X 3 7 c / L n A I F O y d n Z 2 d r 9 / M 7 l 0 q 8 k J 1 q a S w G f E z 8 / n 4 2 P h Y Z T F X l v O M v + E t r m p 3 t X U 2 y Q p y d X y M w R / + R K t r q / x E + 4 k f 8 y Z v w d j M d 4 X 0 V 7 l q 7 k a u I i e k z G c T 6 c z l T 9 O X L s J f K c W k q Y U F u V K R k i n B I H + j l O U v e I M f a G v 8 U N s A Z q q 2 m u X b y B U 4 H g F v W E H b y G r 3 h Q D w 9 W 5 2 e u b r 6 7 C W d f n l u Z m F R b m Y m 5 S A r 5 S 6 U p W L k 1 J A 9 t L 8 y h z u Y 1 6 X 9 I K E s 7 Q a E L R 4 k 2 l 1 x k / h E / J o w O r 4 7 1 h b 5 0 c M e D T F W k R 8 l J F A 0 t n c j Y K c n p E L o N p r p e 8 r i R A b T z E 5 t 7 D I E n P 8 N d / l D W 1 V S H K i L 7 w 5 D + s p t w s F V i o z J x r Y E I z U Q I a 3 O G S m 2 J C S S W P n T / i B Z Z / v G A j a 5 K f G 5 m b L O a V y s 1 Q u T p c K t 4 v K 7 I + 3 5 E o i h N Z S y 8 v S z O 3 i R / w B V 2 F 5 F d X 1 g r 8 G J 7 q i V C 9 f S u M C K y m m E 2 3 D 9 L e 8 q d V A Y 4 6 E H W 7 P + H P + 0 g s 3 J 8 L / e E u r 8 1 N Q W 0 1 b t a H Z Q s s B x T 3 c L u 7 P m e V T Y A U a 6 U m 0 0 m W T L T B e n Y x b A 7 Z r w H i d N 5 g I C H 4 I N r 2 n r R v W u a 7 c W r p T q l 6 t L s p l Y S A y j o N h U a B p i I N U x 1 G a 2 i Z 9 e o n j h l + q 9 O V D + D 8 a V s U 9 M q A l t Y A g g j X M Z Z Y Z b 1 D B M O O 4 z U F b h 0 k n G A n 0 + Q / w h z U 0 Q 4 d i C 7 i 3 X Q d 1 q l L Y N 7 o Y M 6 Q F J c D Q O 2 D U o G n P a Z k D H O K t L E j 6 J N t O Z z r j p + h y I K + q M 2 4 h p x Z a F d x 1 D d l J K 0 j 3 O 7 k n + A b q m 2 Y + R q 6 Q f x p C F K n L Q K + 6 P F o F 6 5 M K y A l 6 Z g S v J j X C 3 5 f K R c Q / g J F D Y e U 6 k e 1 J I k 0 E 4 0 W C H U t J l l P y K J F J P 0 T V K + a S y f G x J c W L n r o R 6 I I w J C Z 7 t D n f h 6 U t I k p D w q a 7 5 B l H 5 L 9 t P 8 T Y a W T 1 I F 8 P B 0 7 u / P u G T j 7 B y V 0 y G / f M 9 n I p P z 7 p z M D q i J 2 E J S i e g T Y w q x 3 p n C 3 D e h Z H L A S b 1 W 2 I y J y q C R d 3 w A t V E K i t X / v 8 e 0 0 u l u 7 I X Z k 3 o L l S y y J b 7 X f y 1 n 6 W E E b M b M H K Y C o I v x q l i g 4 J J D 0 9 h f Y g N b K g 9 i u U e L A m h q G A K 1 1 3 k A C 7 9 r 0 t A O + s G 9 D + 2 / v q 8 q 1 S u Z r w o i 8 E / U 4 2 R r o W S f i b 9 j P I i u h z t Z y X y + m p y o K s 5 J e U b 0 2 I G K p K 8 b Y j k s + t I P F U j L g W I p 6 K E L c C x E f x E a n C w 0 P s 9 y h M r B X F 2 Q r C W m M 4 u R p q B O O o n u V / 8 l 1 0 A f O X + y Q P B l E t Q H X g F g o Z h 9 z h r U 5 Y 9 r W B U I W L + 2 Y M W D h b I / S t P j B 6 1 M R E c l j F Q N y o u j e q F i j 9 i 2 S D r w z A H n E t + w j z B C Y g F d I F R i x l J E M 8 9 w b B s j O W A E a g N K Y v D V 8 n d f H 8 8 9 J 5 o D n R o v d J z m O + Z 6 l G I t u l x 2 1 r 3 L Y 6 A c B Q m 8 R h Y k P c K H p p F G 2 L M D 0 3 i x K W 7 5 N R q a 8 w 5 V G H a a d p B s 6 k 5 0 5 v 0 / 6 m l W g 3 3 i Z g d K M K V R D y U N u k Q Q w p T 5 N f U f u F f q k 3 Y q w X O H b B 5 x d f U r + K 7 P Z E 0 r L B U E 8 N t + X I 1 3 f b 3 a + + 3 d + 8 Z 7 i e z z k n Q e e k z 3 n D H z f 1 c V M f N / W B m n q n 8 7 K 4 4 Y 9 C w + 9 e 6 3 0 c 1 3 q D P w n w U + x Z j g K 2 U A s m i A 0 K Q 2 E 6 2 B i d o o 1 O I c o u J 0 w K n D D 7 g p b u d R M b 4 G V P N L D Y u T j 1 j b F 9 b G 1 D X s f b t B X U v m 1 j z 0 N 6 U Z 2 u z l 1 Q M u B e T Q 9 1 B Q c y r 4 h a s U J q 2 1 o C V 3 t C 4 j e 5 o j z Z B l 4 L p o X E X 8 E 0 m q g 7 P N C 1 n B + M 9 A g 5 x r d h d V 8 f M J K M + j J 3 d K 1 d P x s A b z V L 4 L Y v q K j 2 l 8 D D a / 7 e m 0 v g o d 0 B e 3 v m y k z E + D 9 4 U m 5 u F / v r 4 E F B L O R D m f b n 4 N 5 Y P K S R P c x K 5 + F C O H 5 s O 7 7 / j u r 9 d z D H n x j l 5 X h Q k X 2 f p l 6 K T 1 M j 1 d d F 5 A p 8 B 5 D n U K R L k Y g a Y g c U u o f 2 9 9 h u z 4 F F 8 f I 5 K k g b 9 8 2 D P R c e U L P c 1 z 5 1 N C f S I + / 3 z z + m D w f P q S g i 0 c C y L 2 P k j h J y W x r d H V I D e R R V w c B X j 8 C e 7 7 m N E i 4 j 2 3 w r p S q b l X + o p q d L S j W 3 B C l t z i 4 V z 2 O + + F f E L 1 D o s d s g o h N d u 3 7 Z P S Z 2 L U q g J 6 N 9 a C x j g T B L J 4 U D x + K O G V y 4 R a i 3 O 2 B 8 C l M g e X v A L E o P o L 9 v J + z v I + J 2 x S e w F u 2 L b s g O W 1 j v n s j A b 8 X z v S i 7 I e N U P i 9 8 I n i o T p w N U A Z x R a + a 0 o l G s 7 2 t p Z u + 0 h F l / F 6 5 D T x Z Y R J K 2 L 0 M N G 4 S k w s V G a b q L 6 6 Y p T B X K H 5 V Z q l M u l 5 t 2 S P f 3 i f L w h w / V Y r L 3 X J m N J f L m Q + 9 l h l l V 2 / 3 H t f o H + G O e l d 3 z m + H 9 V 9 z k z X / m h s P F 8 d 9 q 4 2 G h Z G 2 1 X M 0 u 9 I z 9 7 P u p 8 y f f N i n z I / M 2 K m / / Q k N 4 Y H g Q W i O y 9 T R F P g W D 9 B r v w j v 7 l W c h M v y k j g + t l 8 / Y I F i C U u G A U d x 0 g L c g K R v 5 W W g T I q d e S m s X d d k R A 1 z c W D P B I Y z j h F 9 L j r F e M z E q B W j 1 q B R y 0 t 8 x 8 h m h 2 z / A 1 B L A Q I t A B Q A A g A I A G u P T l n L M s S X p A A A A P U A A A A S A A A A A A A A A A A A A A A A A A A A A A B D b 2 5 m a W c v U G F j a 2 F n Z S 5 4 b W x Q S w E C L Q A U A A I A C A B r j 0 5 Z D 8 r p q 6 Q A A A D p A A A A E w A A A A A A A A A A A A A A A A D w A A A A W 0 N v b n R l b n R f V H l w Z X N d L n h t b F B L A Q I t A B Q A A g A I A G u P T l l l i J L 6 d g c A A D J R A A A T A A A A A A A A A A A A A A A A A O E B A A B G b 3 J t d W x h c y 9 T Z W N 0 a W 9 u M S 5 t U E s F B g A A A A A D A A M A w g A A A K Q J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M y A Q A A A A A A g T I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V B O C V E M C V C Q S V E M C V C M C V E M S U 4 N C V E M S U 4 Q j w v S X R l b V B h d G g + P C 9 J d G V t T G 9 j Y X R p b 2 4 + P F N 0 Y W J s Z U V u d H J p Z X M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G l 2 b 3 R P Y m p l Y 3 R O Y W 1 l I i B W Y W x 1 Z T 0 i c 9 C b 0 L j R g d G C M S H Q o d C y 0 L 7 Q t N C 9 0 L D R j y D R g t C w 0 L H Q u 9 C 4 0 Y b Q s D E i I C 8 + P E V u d H J 5 I F R 5 c G U 9 I k Z p b G x F b m F i b G V k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y I i A v P j x F b n R y e S B U e X B l P S J G a W x s Z W R D b 2 1 w b G V 0 Z V J l c 3 V s d F R v V 2 9 y a 3 N o Z W V 0 I i B W Y W x 1 Z T 0 i b D A i I C 8 + P E V u d H J 5 I F R 5 c G U 9 I k l z U H J p d m F 0 Z S I g V m F s d W U 9 I m w w I i A v P j x F b n R y e S B U e X B l P S J R d W V y e U l E I i B W Y W x 1 Z T 0 i c z c 5 M G Q 0 N D h m L T N l Y m Y t N D h m O C 0 5 M z h l L T I x N G V l Z T A 5 N z A 2 N i I g L z 4 8 R W 5 0 c n k g V H l w Z T 0 i U m V z d W x 0 V H l w Z S I g V m F s d W U 9 I n N U Y W J s Z S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R m l s b E 9 i a m V j d F R 5 c G U i I F Z h b H V l P S J z U G l 2 b 3 R U Y W J s Z S I g L z 4 8 R W 5 0 c n k g V H l w Z T 0 i R m l s b E x h c 3 R V c G R h d G V k I i B W Y W x 1 Z T 0 i Z D I w M j Q t M T A t M T R U M T Q 6 N T k 6 M T c u O D E 4 O T g 1 M V o i I C 8 + P E V u d H J 5 I F R 5 c G U 9 I k Z p b G x F c n J v c k N v d W 5 0 I i B W Y W x 1 Z T 0 i b D A i I C 8 + P E V u d H J 5 I F R 5 c G U 9 I k Z p b G x D b 2 x 1 b W 5 U e X B l c y I g V m F s d W U 9 I n N C Z 1 l H Q m d J Q 0 J R W U d C Z 1 l B I i A v P j x F b n R y e S B U e X B l P S J G a W x s R X J y b 3 J D b 2 R l I i B W Y W x 1 Z T 0 i c 1 V u a 2 5 v d 2 4 i I C 8 + P E V u d H J 5 I F R 5 c G U 9 I k Z p b G x D b 2 x 1 b W 5 O Y W 1 l c y I g V m F s d W U 9 I n N b J n F 1 b 3 Q 7 Q 0 t V J n F 1 b 3 Q 7 L C Z x d W 9 0 O 9 C h 0 L X R g N C 4 0 Y 8 m c X V v d D s s J n F 1 b 3 Q 7 0 K L Q u N C / X 9 G I 0 L r Q s N G E 0 L A m c X V v d D s s J n F 1 b 3 Q 7 0 J L Q s N G A 0 L j Q s N C 9 0 Y I g 0 L j R g d C / 0 L 7 Q u 9 C 9 0 L X Q v d C 4 0 Y 8 g 0 Y j Q u t C w 0 Y T Q s C Z x d W 9 0 O y w m c X V v d D v Q q N C 4 0 Y D Q u N C 9 0 L A m c X V v d D s s J n F 1 b 3 Q 7 0 J L R i 9 G B 0 L 7 R g t C w J n F 1 b 3 Q 7 L C Z x d W 9 0 O 9 C T 0 L v R g 9 C x 0 L j Q v d C w J n F 1 b 3 Q 7 L C Z x d W 9 0 O 9 C d 0 L D Q u N C 8 0 L X Q v d C + 0 L L Q s N C 9 0 L j Q t S D R i N C 6 0 L D R h N C w I N C 9 0 L A g 0 Y H Q s N C 5 0 Y L Q t S Z x d W 9 0 O y w m c X V v d D v Q n 9 G A 0 L j Q t 9 C 9 0 L D Q u l / Q k t C Y X 9 C o 0 L r Q s N G E 0 L A m c X V v d D s s J n F 1 b 3 Q 7 0 J r Q v t C 8 0 L / Q s N C 9 0 L 7 Q s t C 6 0 L A g 0 L r Q v t G A 0 L / R g 9 G B 0 L A m c X V v d D s s J n F 1 b 3 Q 7 0 J D R g t G A 0 L j Q s d G D 0 Y I m c X V v d D s s J n F 1 b 3 Q 7 0 J f Q v d C w 0 Y f Q t d C 9 0 L j Q t S Z x d W 9 0 O 1 0 i I C 8 + P E V u d H J 5 I F R 5 c G U 9 I k Z p b G x D b 3 V u d C I g V m F s d W U 9 I m w 3 N j k 2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q N C 6 0 L D R h N G L L 9 C d 0 L X R g d C y 0 L X R g N C 9 0 Y P R g t G L 0 L U g 0 Y H R g t C + 0 L v Q s d G G 0 Y s u e 0 N L V S w w f S Z x d W 9 0 O y w m c X V v d D t T Z W N 0 a W 9 u M S / Q q N C 6 0 L D R h N G L L 9 C d 0 L X R g d C y 0 L X R g N C 9 0 Y P R g t G L 0 L U g 0 Y H R g t C + 0 L v Q s d G G 0 Y s u e 9 C h 0 L X R g N C 4 0 Y 8 s M X 0 m c X V v d D s s J n F 1 b 3 Q 7 U 2 V j d G l v b j E v 0 K j Q u t C w 0 Y T R i y / Q n d C 1 0 Y H Q s t C 1 0 Y D Q v d G D 0 Y L R i 9 C 1 I N G B 0 Y L Q v t C 7 0 L H R h t G L L n v Q o t C 4 0 L 9 f 0 Y j Q u t C w 0 Y T Q s C w y f S Z x d W 9 0 O y w m c X V v d D t T Z W N 0 a W 9 u M S / Q q N C 6 0 L D R h N G L L 9 C d 0 L X R g d C y 0 L X R g N C 9 0 Y P R g t G L 0 L U g 0 Y H R g t C + 0 L v Q s d G G 0 Y s u e 9 C S 0 L D R g N C 4 0 L D Q v d G C I N C 4 0 Y H Q v 9 C + 0 L v Q v d C 1 0 L 3 Q u N G P I N G I 0 L r Q s N G E 0 L A s M 3 0 m c X V v d D s s J n F 1 b 3 Q 7 U 2 V j d G l v b j E v 0 K j Q u t C w 0 Y T R i y / Q n d C 1 0 Y H Q s t C 1 0 Y D Q v d G D 0 Y L R i 9 C 1 I N G B 0 Y L Q v t C 7 0 L H R h t G L L n v Q q N C 4 0 Y D Q u N C 9 0 L A s N H 0 m c X V v d D s s J n F 1 b 3 Q 7 U 2 V j d G l v b j E v 0 K j Q u t C w 0 Y T R i y / Q n d C 1 0 Y H Q s t C 1 0 Y D Q v d G D 0 Y L R i 9 C 1 I N G B 0 Y L Q v t C 7 0 L H R h t G L L n v Q k t G L 0 Y H Q v t G C 0 L A s N X 0 m c X V v d D s s J n F 1 b 3 Q 7 U 2 V j d G l v b j E v 0 K j Q u t C w 0 Y T R i y / Q n d C 1 0 Y H Q s t C 1 0 Y D Q v d G D 0 Y L R i 9 C 1 I N G B 0 Y L Q v t C 7 0 L H R h t G L L n v Q k 9 C 7 0 Y P Q s d C 4 0 L 3 Q s C w 2 f S Z x d W 9 0 O y w m c X V v d D t T Z W N 0 a W 9 u M S / Q q N C 6 0 L D R h N G L L 9 C d 0 L X R g d C y 0 L X R g N C 9 0 Y P R g t G L 0 L U g 0 Y H R g t C + 0 L v Q s d G G 0 Y s u e 9 C d 0 L D Q u N C 8 0 L X Q v d C + 0 L L Q s N C 9 0 L j Q t S D R i N C 6 0 L D R h N C w I N C 9 0 L A g 0 Y H Q s N C 5 0 Y L Q t S w 3 f S Z x d W 9 0 O y w m c X V v d D t T Z W N 0 a W 9 u M S / Q q N C 6 0 L D R h N G L L 9 C d 0 L X R g d C y 0 L X R g N C 9 0 Y P R g t G L 0 L U g 0 Y H R g t C + 0 L v Q s d G G 0 Y s u e 9 C f 0 Y D Q u N C 3 0 L 3 Q s N C 6 X 9 C S 0 J h f 0 K j Q u t C w 0 Y T Q s C w 4 f S Z x d W 9 0 O y w m c X V v d D t T Z W N 0 a W 9 u M S / Q q N C 6 0 L D R h N G L L 9 C d 0 L X R g d C y 0 L X R g N C 9 0 Y P R g t G L 0 L U g 0 Y H R g t C + 0 L v Q s d G G 0 Y s u e 9 C a 0 L 7 Q v N C / 0 L D Q v d C + 0 L L Q u t C w I N C 6 0 L 7 R g N C / 0 Y P R g d C w L D l 9 J n F 1 b 3 Q 7 L C Z x d W 9 0 O 1 N l Y 3 R p b 2 4 x L 9 C o 0 L r Q s N G E 0 Y s v 0 J 3 Q t d G B 0 L L Q t d G A 0 L 3 R g 9 G C 0 Y v Q t S D R g d G C 0 L 7 Q u 9 C x 0 Y b R i y 5 7 0 J D R g t G A 0 L j Q s d G D 0 Y I s M T B 9 J n F 1 b 3 Q 7 L C Z x d W 9 0 O 1 N l Y 3 R p b 2 4 x L 9 C o 0 L r Q s N G E 0 Y s v 0 J 3 Q t d G B 0 L L Q t d G A 0 L 3 R g 9 G C 0 Y v Q t S D R g d G C 0 L 7 Q u 9 C x 0 Y b R i y 5 7 0 J f Q v d C w 0 Y f Q t d C 9 0 L j Q t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9 C o 0 L r Q s N G E 0 Y s v 0 J 3 Q t d G B 0 L L Q t d G A 0 L 3 R g 9 G C 0 Y v Q t S D R g d G C 0 L 7 Q u 9 C x 0 Y b R i y 5 7 Q 0 t V L D B 9 J n F 1 b 3 Q 7 L C Z x d W 9 0 O 1 N l Y 3 R p b 2 4 x L 9 C o 0 L r Q s N G E 0 Y s v 0 J 3 Q t d G B 0 L L Q t d G A 0 L 3 R g 9 G C 0 Y v Q t S D R g d G C 0 L 7 Q u 9 C x 0 Y b R i y 5 7 0 K H Q t d G A 0 L j R j y w x f S Z x d W 9 0 O y w m c X V v d D t T Z W N 0 a W 9 u M S / Q q N C 6 0 L D R h N G L L 9 C d 0 L X R g d C y 0 L X R g N C 9 0 Y P R g t G L 0 L U g 0 Y H R g t C + 0 L v Q s d G G 0 Y s u e 9 C i 0 L j Q v 1 / R i N C 6 0 L D R h N C w L D J 9 J n F 1 b 3 Q 7 L C Z x d W 9 0 O 1 N l Y 3 R p b 2 4 x L 9 C o 0 L r Q s N G E 0 Y s v 0 J 3 Q t d G B 0 L L Q t d G A 0 L 3 R g 9 G C 0 Y v Q t S D R g d G C 0 L 7 Q u 9 C x 0 Y b R i y 5 7 0 J L Q s N G A 0 L j Q s N C 9 0 Y I g 0 L j R g d C / 0 L 7 Q u 9 C 9 0 L X Q v d C 4 0 Y 8 g 0 Y j Q u t C w 0 Y T Q s C w z f S Z x d W 9 0 O y w m c X V v d D t T Z W N 0 a W 9 u M S / Q q N C 6 0 L D R h N G L L 9 C d 0 L X R g d C y 0 L X R g N C 9 0 Y P R g t G L 0 L U g 0 Y H R g t C + 0 L v Q s d G G 0 Y s u e 9 C o 0 L j R g N C 4 0 L 3 Q s C w 0 f S Z x d W 9 0 O y w m c X V v d D t T Z W N 0 a W 9 u M S / Q q N C 6 0 L D R h N G L L 9 C d 0 L X R g d C y 0 L X R g N C 9 0 Y P R g t G L 0 L U g 0 Y H R g t C + 0 L v Q s d G G 0 Y s u e 9 C S 0 Y v R g d C + 0 Y L Q s C w 1 f S Z x d W 9 0 O y w m c X V v d D t T Z W N 0 a W 9 u M S / Q q N C 6 0 L D R h N G L L 9 C d 0 L X R g d C y 0 L X R g N C 9 0 Y P R g t G L 0 L U g 0 Y H R g t C + 0 L v Q s d G G 0 Y s u e 9 C T 0 L v R g 9 C x 0 L j Q v d C w L D Z 9 J n F 1 b 3 Q 7 L C Z x d W 9 0 O 1 N l Y 3 R p b 2 4 x L 9 C o 0 L r Q s N G E 0 Y s v 0 J 3 Q t d G B 0 L L Q t d G A 0 L 3 R g 9 G C 0 Y v Q t S D R g d G C 0 L 7 Q u 9 C x 0 Y b R i y 5 7 0 J 3 Q s N C 4 0 L z Q t d C 9 0 L 7 Q s t C w 0 L 3 Q u N C 1 I N G I 0 L r Q s N G E 0 L A g 0 L 3 Q s C D R g d C w 0 L n R g t C 1 L D d 9 J n F 1 b 3 Q 7 L C Z x d W 9 0 O 1 N l Y 3 R p b 2 4 x L 9 C o 0 L r Q s N G E 0 Y s v 0 J 3 Q t d G B 0 L L Q t d G A 0 L 3 R g 9 G C 0 Y v Q t S D R g d G C 0 L 7 Q u 9 C x 0 Y b R i y 5 7 0 J / R g N C 4 0 L f Q v d C w 0 L p f 0 J L Q m F / Q q N C 6 0 L D R h N C w L D h 9 J n F 1 b 3 Q 7 L C Z x d W 9 0 O 1 N l Y 3 R p b 2 4 x L 9 C o 0 L r Q s N G E 0 Y s v 0 J 3 Q t d G B 0 L L Q t d G A 0 L 3 R g 9 G C 0 Y v Q t S D R g d G C 0 L 7 Q u 9 C x 0 Y b R i y 5 7 0 J r Q v t C 8 0 L / Q s N C 9 0 L 7 Q s t C 6 0 L A g 0 L r Q v t G A 0 L / R g 9 G B 0 L A s O X 0 m c X V v d D s s J n F 1 b 3 Q 7 U 2 V j d G l v b j E v 0 K j Q u t C w 0 Y T R i y / Q n d C 1 0 Y H Q s t C 1 0 Y D Q v d G D 0 Y L R i 9 C 1 I N G B 0 Y L Q v t C 7 0 L H R h t G L L n v Q k N G C 0 Y D Q u N C x 0 Y P R g i w x M H 0 m c X V v d D s s J n F 1 b 3 Q 7 U 2 V j d G l v b j E v 0 K j Q u t C w 0 Y T R i y / Q n d C 1 0 Y H Q s t C 1 0 Y D Q v d G D 0 Y L R i 9 C 1 I N G B 0 Y L Q v t C 7 0 L H R h t G L L n v Q l 9 C 9 0 L D R h 9 C 1 0 L 3 Q u N C 1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4 J U Q w J U J B J U Q w J U I w J U Q x J T g 0 J U Q x J T h C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O C V E M C V C Q S V E M C V C M C V E M S U 4 N C V E M S U 4 Q i 9 k Y m 9 f J U Q w J U E w J U Q w J U I 1 J U Q w J U I 3 J U Q x J T g z J U Q w J U J C J U Q x J T h D J U Q x J T g y J U Q w J U I w J U Q x J T g y X y V E M C V B M S V E M S U 4 M i V E M C V C R S V E M C V C O C V E M C V C Q y V E M C V C R S V E M S U 4 M S V E M S U 4 M i V E M S U 4 Q 1 8 l R D E l O D g l R D A l Q k E l R D A l Q j A l R D E l O D Q l R D A l Q k U l R D A l Q j J f Q 1 N L V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O C V E M C V C Q S V E M C V C M C V E M S U 4 N C V E M S U 4 Q i 8 l R D A l O U Q l R D A l Q j U l R D E l O D E l R D A l Q j I l R D A l Q j U l R D E l O D A l R D A l Q k Q l R D E l O D M l R D E l O D I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g l R D A l Q k E l R D A l Q j A l R D E l O D Q l R D E l O E I v J U Q w J U E 0 J U Q w J U I 4 J U Q w J U J C J U Q x J T h D J U Q x J T g y J U Q x J T g w J U Q w J U I w J U Q x J T g 2 J U Q w J U I 4 J U Q x J T h G J T I w J U Q x J T g 2 J U Q w J U I 1 J U Q w J U J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P C 9 J d G V t U G F 0 a D 4 8 L 0 l 0 Z W 1 M b 2 N h d G l v b j 4 8 U 3 R h Y m x l R W 5 0 c m l l c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Q 2 9 s d W 1 u I i B W Y W x 1 Z T 0 i b D E y I i A v P j x F b n R y e S B U e X B l P S J J c 1 B y a X Z h d G U i I F Z h b H V l P S J s M C I g L z 4 8 R W 5 0 c n k g V H l w Z T 0 i U X V l c n l J R C I g V m F s d W U 9 I n M 4 Z T I 0 Y T l j Z S 1 i Y T k x L T Q 5 O D Q t Y j Z i O C 1 j Y j Y 5 O W M x Z T I 0 O W Q i I C 8 + P E V u d H J 5 I F R 5 c G U 9 I l J l Y 2 9 2 Z X J 5 V G F y Z 2 V 0 U m 9 3 I i B W Y W x 1 Z T 0 i b D I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S Z W N v d m V y e V R h c m d l d F N o Z W V 0 I i B W Y W x 1 Z T 0 i c 9 C b 0 L j R g d G C M S I g L z 4 8 R W 5 0 c n k g V H l w Z T 0 i R m l s b E x h c 3 R V c G R h d G V k I i B W Y W x 1 Z T 0 i Z D I w M j Q t M T A t M D J U M T Y 6 M j Y 6 M j E u M D A 3 O D g 3 M F o i I C 8 + P E V u d H J 5 I F R 5 c G U 9 I k Z p b G x D b 2 x 1 b W 5 U e X B l c y I g V m F s d W U 9 I n N C Z 1 l H Q m d Z R 0 J n Q T 0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Q 2 9 s d W 1 u T m F t Z X M i I F Z h b H V l P S J z W y Z x d W 9 0 O 9 C S 0 L D R g N C 4 0 L D Q v d G C X 9 C 4 0 Y H Q v 9 C + 0 L v Q v d C 1 0 L 3 Q u N G P J n F 1 b 3 Q 7 L C Z x d W 9 0 O 9 C h 0 L X R g N C 4 0 Y 8 m c X V v d D s s J n F 1 b 3 Q 7 0 K j Q u N G A 0 L j Q v d C w J n F 1 b 3 Q 7 L C Z x d W 9 0 O 9 C T 0 L v R g 9 C x 0 L j Q v d C w J n F 1 b 3 Q 7 L C Z x d W 9 0 O 9 C S 0 Y v R g d C + 0 Y L Q s C Z x d W 9 0 O y w m c X V v d D v Q m t C + 0 L z Q v 9 C 7 0 L X Q u t G C 0 Y P R j t G J 0 L D R j y Z x d W 9 0 O y w m c X V v d D v Q k N G C 0 Y D Q u N C x 0 Y P R g i Z x d W 9 0 O y w m c X V v d D v Q l 9 C 9 0 L D R h 9 C 1 0 L 3 Q u N C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/ R g N C + 0 Y f Q u N C 1 I N C 0 0 L 7 Q v 9 C + 0 L v Q v d C 1 0 L 3 Q u N G P L 9 C d 0 L X R g d C y 0 L X R g N C 9 0 Y P R g t G L 0 L U g 0 Y H R g t C + 0 L v Q s d G G 0 Y s u e 9 C S 0 L D R g N C 4 0 L D Q v d G C X 9 C 4 0 Y H Q v 9 C + 0 L v Q v d C 1 0 L 3 Q u N G P L D B 9 J n F 1 b 3 Q 7 L C Z x d W 9 0 O 1 N l Y 3 R p b 2 4 x L 9 C f 0 Y D Q v t G H 0 L j Q t S D Q t N C + 0 L / Q v t C 7 0 L 3 Q t d C 9 0 L j R j y / Q n d C 1 0 Y H Q s t C 1 0 Y D Q v d G D 0 Y L R i 9 C 1 I N G B 0 Y L Q v t C 7 0 L H R h t G L L n v Q o d C 1 0 Y D Q u N G P L D F 9 J n F 1 b 3 Q 7 L C Z x d W 9 0 O 1 N l Y 3 R p b 2 4 x L 9 C f 0 Y D Q v t G H 0 L j Q t S D Q t N C + 0 L / Q v t C 7 0 L 3 Q t d C 9 0 L j R j y / Q n d C 1 0 Y H Q s t C 1 0 Y D Q v d G D 0 Y L R i 9 C 1 I N G B 0 Y L Q v t C 7 0 L H R h t G L L n v Q q N C 4 0 Y D Q u N C 9 0 L A s M n 0 m c X V v d D s s J n F 1 b 3 Q 7 U 2 V j d G l v b j E v 0 J / R g N C + 0 Y f Q u N C 1 I N C 0 0 L 7 Q v 9 C + 0 L v Q v d C 1 0 L 3 Q u N G P L 9 C d 0 L X R g d C y 0 L X R g N C 9 0 Y P R g t G L 0 L U g 0 Y H R g t C + 0 L v Q s d G G 0 Y s u e 9 C T 0 L v R g 9 C x 0 L j Q v d C w L D N 9 J n F 1 b 3 Q 7 L C Z x d W 9 0 O 1 N l Y 3 R p b 2 4 x L 9 C f 0 Y D Q v t G H 0 L j Q t S D Q t N C + 0 L / Q v t C 7 0 L 3 Q t d C 9 0 L j R j y / Q n d C 1 0 Y H Q s t C 1 0 Y D Q v d G D 0 Y L R i 9 C 1 I N G B 0 Y L Q v t C 7 0 L H R h t G L L n v Q k t G L 0 Y H Q v t G C 0 L A s N H 0 m c X V v d D s s J n F 1 b 3 Q 7 U 2 V j d G l v b j E v 0 J / R g N C + 0 Y f Q u N C 1 I N C 0 0 L 7 Q v 9 C + 0 L v Q v d C 1 0 L 3 Q u N G P L 9 C d 0 L X R g d C y 0 L X R g N C 9 0 Y P R g t G L 0 L U g 0 Y H R g t C + 0 L v Q s d G G 0 Y s u e 9 C a 0 L 7 Q v N C / 0 L v Q t d C 6 0 Y L R g 9 G O 0 Y n Q s N G P L D V 9 J n F 1 b 3 Q 7 L C Z x d W 9 0 O 1 N l Y 3 R p b 2 4 x L 9 C f 0 Y D Q v t G H 0 L j Q t S D Q t N C + 0 L / Q v t C 7 0 L 3 Q t d C 9 0 L j R j y / Q n d C 1 0 Y H Q s t C 1 0 Y D Q v d G D 0 Y L R i 9 C 1 I N G B 0 Y L Q v t C 7 0 L H R h t G L L n v Q k N G C 0 Y D Q u N C x 0 Y P R g i w 4 f S Z x d W 9 0 O y w m c X V v d D t T Z W N 0 a W 9 u M S / Q n 9 G A 0 L 7 R h 9 C 4 0 L U g 0 L T Q v t C / 0 L 7 Q u 9 C 9 0 L X Q v d C 4 0 Y 8 v 0 J 3 Q t d G B 0 L L Q t d G A 0 L 3 R g 9 G C 0 Y v Q t S D R g d G C 0 L 7 Q u 9 C x 0 Y b R i y 5 7 0 J f Q v d C w 0 Y f Q t d C 9 0 L j Q t S w 5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/ Q n 9 G A 0 L 7 R h 9 C 4 0 L U g 0 L T Q v t C / 0 L 7 Q u 9 C 9 0 L X Q v d C 4 0 Y 8 v 0 J 3 Q t d G B 0 L L Q t d G A 0 L 3 R g 9 G C 0 Y v Q t S D R g d G C 0 L 7 Q u 9 C x 0 Y b R i y 5 7 0 J L Q s N G A 0 L j Q s N C 9 0 Y J f 0 L j R g d C / 0 L 7 Q u 9 C 9 0 L X Q v d C 4 0 Y 8 s M H 0 m c X V v d D s s J n F 1 b 3 Q 7 U 2 V j d G l v b j E v 0 J / R g N C + 0 Y f Q u N C 1 I N C 0 0 L 7 Q v 9 C + 0 L v Q v d C 1 0 L 3 Q u N G P L 9 C d 0 L X R g d C y 0 L X R g N C 9 0 Y P R g t G L 0 L U g 0 Y H R g t C + 0 L v Q s d G G 0 Y s u e 9 C h 0 L X R g N C 4 0 Y 8 s M X 0 m c X V v d D s s J n F 1 b 3 Q 7 U 2 V j d G l v b j E v 0 J / R g N C + 0 Y f Q u N C 1 I N C 0 0 L 7 Q v 9 C + 0 L v Q v d C 1 0 L 3 Q u N G P L 9 C d 0 L X R g d C y 0 L X R g N C 9 0 Y P R g t G L 0 L U g 0 Y H R g t C + 0 L v Q s d G G 0 Y s u e 9 C o 0 L j R g N C 4 0 L 3 Q s C w y f S Z x d W 9 0 O y w m c X V v d D t T Z W N 0 a W 9 u M S / Q n 9 G A 0 L 7 R h 9 C 4 0 L U g 0 L T Q v t C / 0 L 7 Q u 9 C 9 0 L X Q v d C 4 0 Y 8 v 0 J 3 Q t d G B 0 L L Q t d G A 0 L 3 R g 9 G C 0 Y v Q t S D R g d G C 0 L 7 Q u 9 C x 0 Y b R i y 5 7 0 J P Q u 9 G D 0 L H Q u N C 9 0 L A s M 3 0 m c X V v d D s s J n F 1 b 3 Q 7 U 2 V j d G l v b j E v 0 J / R g N C + 0 Y f Q u N C 1 I N C 0 0 L 7 Q v 9 C + 0 L v Q v d C 1 0 L 3 Q u N G P L 9 C d 0 L X R g d C y 0 L X R g N C 9 0 Y P R g t G L 0 L U g 0 Y H R g t C + 0 L v Q s d G G 0 Y s u e 9 C S 0 Y v R g d C + 0 Y L Q s C w 0 f S Z x d W 9 0 O y w m c X V v d D t T Z W N 0 a W 9 u M S / Q n 9 G A 0 L 7 R h 9 C 4 0 L U g 0 L T Q v t C / 0 L 7 Q u 9 C 9 0 L X Q v d C 4 0 Y 8 v 0 J 3 Q t d G B 0 L L Q t d G A 0 L 3 R g 9 G C 0 Y v Q t S D R g d G C 0 L 7 Q u 9 C x 0 Y b R i y 5 7 0 J r Q v t C 8 0 L / Q u 9 C 1 0 L r R g t G D 0 Y 7 R i d C w 0 Y 8 s N X 0 m c X V v d D s s J n F 1 b 3 Q 7 U 2 V j d G l v b j E v 0 J / R g N C + 0 Y f Q u N C 1 I N C 0 0 L 7 Q v 9 C + 0 L v Q v d C 1 0 L 3 Q u N G P L 9 C d 0 L X R g d C y 0 L X R g N C 9 0 Y P R g t G L 0 L U g 0 Y H R g t C + 0 L v Q s d G G 0 Y s u e 9 C Q 0 Y L R g N C 4 0 L H R g 9 G C L D h 9 J n F 1 b 3 Q 7 L C Z x d W 9 0 O 1 N l Y 3 R p b 2 4 x L 9 C f 0 Y D Q v t G H 0 L j Q t S D Q t N C + 0 L / Q v t C 7 0 L 3 Q t d C 9 0 L j R j y / Q n d C 1 0 Y H Q s t C 1 0 Y D Q v d G D 0 Y L R i 9 C 1 I N G B 0 Y L Q v t C 7 0 L H R h t G L L n v Q l 9 C 9 0 L D R h 9 C 1 0 L 3 Q u N C 1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L 2 R i b 1 8 l R D A l Q T A l R D A l Q j U l R D A l Q j c l R D E l O D M l R D A l Q k I l R D E l O E M l R D E l O D I l R D A l Q j A l R D E l O D J f J U Q w J U E x J U Q x J T g 0 J U Q w J U J F J U Q x J T g w J U Q w J U J D J U Q w J U I 4 J U Q x J T g w J U Q w J U J F J U Q w J U I y J U Q w J U I w J U Q w J U J E J U Q w J U J E J U Q x J T h C J U Q w J U I 1 X y V E M S U 4 N i V E M C V C N S V E M C V C R C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L y V E M C V B M S V E M C V C R S V E M S U 4 M C V E M S U 4 M i V E M C V C O C V E M S U 4 M C V E M C V C R S V E M C V C M i V E M C V C M C V E M C V C R C V E M C V C R C V E M S U 4 Q i V E M C V C N S U y M C V E M S U 4 M S V E M S U 4 M i V E M S U 4 M C V E M C V C R S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8 l R D A l O U Q l R D A l Q j U l R D E l O D E l R D A l Q j I l R D A l Q j U l R D E l O D A l R D A l Q k Q l R D E l O D M l R D E l O D I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8 l R D A l Q T Q l R D A l Q j g l R D A l Q k I l R D E l O E M l R D E l O D I l R D E l O D A l R D A l Q j A l R D E l O D Y l R D A l Q j g l R D E l O E Y l M j A l R D E l O D Y l R D A l Q j U l R D A l Q k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g l R D A l Q k E l R D A l Q j A l R D E l O D Q l R D E l O E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O C V E M C V C Q S V E M C V C M C V E M S U 4 N C V E M S U 4 Q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N z k w Z D Q 0 O G Y t M 2 V i Z i 0 0 O G Y 4 L T k z O G U t M j E 0 Z W V l M D k 3 M D Y 2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m V j b 3 Z l c n l U Y X J n Z X R S b 3 c i I F Z h b H V l P S J s M i I g L z 4 8 R W 5 0 c n k g V H l w Z T 0 i R m l s b F R v R G F 0 Y U 1 v Z G V s R W 5 h Y m x l Z C I g V m F s d W U 9 I m w w I i A v P j x F b n R y e S B U e X B l P S J G a W x s T 2 J q Z W N 0 V H l w Z S I g V m F s d W U 9 I n N Q a X Z v d F R h Y m x l I i A v P j x F b n R y e S B U e X B l P S J Q a X Z v d E 9 i a m V j d E 5 h b W U i I F Z h b H V l P S J z 0 J v Q v t C 6 0 L X R g D E h 0 K H Q s t C + 0 L T Q v d C w 0 Y 8 g 0 Y L Q s N C x 0 L v Q u N G G 0 L A x I i A v P j x F b n R y e S B U e X B l P S J G a W x s T G F z d F V w Z G F 0 Z W Q i I F Z h b H V l P S J k M j A y N C 0 x M C 0 x N F Q x N D o 1 O T o x O C 4 4 N z M 3 O T M 0 W i I g L z 4 8 R W 5 0 c n k g V H l w Z T 0 i R m l s b E N v b H V t b l R 5 c G V z I i B W Y W x 1 Z T 0 i c 0 J n W U d C Z 0 l D Q l F Z R 0 J n W U E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S 1 U m c X V v d D s s J n F 1 b 3 Q 7 0 K H Q t d G A 0 L j R j y Z x d W 9 0 O y w m c X V v d D v Q o t C 4 0 L 9 f 0 Y j Q u t C w 0 Y T Q s C Z x d W 9 0 O y w m c X V v d D v Q k t C w 0 Y D Q u N C w 0 L 3 R g i D Q u N G B 0 L / Q v t C 7 0 L 3 Q t d C 9 0 L j R j y D R i N C 6 0 L D R h N C w J n F 1 b 3 Q 7 L C Z x d W 9 0 O 9 C o 0 L j R g N C 4 0 L 3 Q s C Z x d W 9 0 O y w m c X V v d D v Q k t G L 0 Y H Q v t G C 0 L A m c X V v d D s s J n F 1 b 3 Q 7 0 J P Q u 9 G D 0 L H Q u N C 9 0 L A m c X V v d D s s J n F 1 b 3 Q 7 0 J 3 Q s N C 4 0 L z Q t d C 9 0 L 7 Q s t C w 0 L 3 Q u N C 1 I N G I 0 L r Q s N G E 0 L A g 0 L 3 Q s C D R g d C w 0 L n R g t C 1 J n F 1 b 3 Q 7 L C Z x d W 9 0 O 9 C f 0 Y D Q u N C 3 0 L 3 Q s N C 6 X 9 C S 0 J h f 0 K j Q u t C w 0 Y T Q s C Z x d W 9 0 O y w m c X V v d D v Q m t C + 0 L z Q v 9 C w 0 L 3 Q v t C y 0 L r Q s C D Q u t C + 0 Y D Q v 9 G D 0 Y H Q s C Z x d W 9 0 O y w m c X V v d D v Q k N G C 0 Y D Q u N C x 0 Y P R g i Z x d W 9 0 O y w m c X V v d D v Q l 9 C 9 0 L D R h 9 C 1 0 L 3 Q u N C 1 J n F 1 b 3 Q 7 X S I g L z 4 8 R W 5 0 c n k g V H l w Z T 0 i R m l s b E N v d W 5 0 I i B W Y W x 1 Z T 0 i b D M 2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q N C 6 0 L D R h N G L I C g y K S / Q n d C 1 0 Y H Q s t C 1 0 Y D Q v d G D 0 Y L R i 9 C 1 I N G B 0 Y L Q v t C 7 0 L H R h t G L L n t D S 1 U s M H 0 m c X V v d D s s J n F 1 b 3 Q 7 U 2 V j d G l v b j E v 0 K j Q u t C w 0 Y T R i y A o M i k v 0 J 3 Q t d G B 0 L L Q t d G A 0 L 3 R g 9 G C 0 Y v Q t S D R g d G C 0 L 7 Q u 9 C x 0 Y b R i y 5 7 0 K H Q t d G A 0 L j R j y w x f S Z x d W 9 0 O y w m c X V v d D t T Z W N 0 a W 9 u M S / Q q N C 6 0 L D R h N G L I C g y K S / Q n d C 1 0 Y H Q s t C 1 0 Y D Q v d G D 0 Y L R i 9 C 1 I N G B 0 Y L Q v t C 7 0 L H R h t G L L n v Q o t C 4 0 L 9 f 0 Y j Q u t C w 0 Y T Q s C w y f S Z x d W 9 0 O y w m c X V v d D t T Z W N 0 a W 9 u M S / Q q N C 6 0 L D R h N G L I C g y K S / Q n d C 1 0 Y H Q s t C 1 0 Y D Q v d G D 0 Y L R i 9 C 1 I N G B 0 Y L Q v t C 7 0 L H R h t G L L n v Q k t C w 0 Y D Q u N C w 0 L 3 R g i D Q u N G B 0 L / Q v t C 7 0 L 3 Q t d C 9 0 L j R j y D R i N C 6 0 L D R h N C w L D N 9 J n F 1 b 3 Q 7 L C Z x d W 9 0 O 1 N l Y 3 R p b 2 4 x L 9 C o 0 L r Q s N G E 0 Y s g K D I p L 9 C d 0 L X R g d C y 0 L X R g N C 9 0 Y P R g t G L 0 L U g 0 Y H R g t C + 0 L v Q s d G G 0 Y s u e 9 C o 0 L j R g N C 4 0 L 3 Q s C w 0 f S Z x d W 9 0 O y w m c X V v d D t T Z W N 0 a W 9 u M S / Q q N C 6 0 L D R h N G L I C g y K S / Q n d C 1 0 Y H Q s t C 1 0 Y D Q v d G D 0 Y L R i 9 C 1 I N G B 0 Y L Q v t C 7 0 L H R h t G L L n v Q k t G L 0 Y H Q v t G C 0 L A s N X 0 m c X V v d D s s J n F 1 b 3 Q 7 U 2 V j d G l v b j E v 0 K j Q u t C w 0 Y T R i y A o M i k v 0 J 3 Q t d G B 0 L L Q t d G A 0 L 3 R g 9 G C 0 Y v Q t S D R g d G C 0 L 7 Q u 9 C x 0 Y b R i y 5 7 0 J P Q u 9 G D 0 L H Q u N C 9 0 L A s N n 0 m c X V v d D s s J n F 1 b 3 Q 7 U 2 V j d G l v b j E v 0 K j Q u t C w 0 Y T R i y A o M i k v 0 J 3 Q t d G B 0 L L Q t d G A 0 L 3 R g 9 G C 0 Y v Q t S D R g d G C 0 L 7 Q u 9 C x 0 Y b R i y 5 7 0 J 3 Q s N C 4 0 L z Q t d C 9 0 L 7 Q s t C w 0 L 3 Q u N C 1 I N G I 0 L r Q s N G E 0 L A g 0 L 3 Q s C D R g d C w 0 L n R g t C 1 L D d 9 J n F 1 b 3 Q 7 L C Z x d W 9 0 O 1 N l Y 3 R p b 2 4 x L 9 C o 0 L r Q s N G E 0 Y s g K D I p L 9 C d 0 L X R g d C y 0 L X R g N C 9 0 Y P R g t G L 0 L U g 0 Y H R g t C + 0 L v Q s d G G 0 Y s u e 9 C f 0 Y D Q u N C 3 0 L 3 Q s N C 6 X 9 C S 0 J h f 0 K j Q u t C w 0 Y T Q s C w 4 f S Z x d W 9 0 O y w m c X V v d D t T Z W N 0 a W 9 u M S / Q q N C 6 0 L D R h N G L I C g y K S / Q n d C 1 0 Y H Q s t C 1 0 Y D Q v d G D 0 Y L R i 9 C 1 I N G B 0 Y L Q v t C 7 0 L H R h t G L L n v Q m t C + 0 L z Q v 9 C w 0 L 3 Q v t C y 0 L r Q s C D Q u t C + 0 Y D Q v 9 G D 0 Y H Q s C w 5 f S Z x d W 9 0 O y w m c X V v d D t T Z W N 0 a W 9 u M S / Q q N C 6 0 L D R h N G L I C g y K S / Q n d C 1 0 Y H Q s t C 1 0 Y D Q v d G D 0 Y L R i 9 C 1 I N G B 0 Y L Q v t C 7 0 L H R h t G L L n v Q k N G C 0 Y D Q u N C x 0 Y P R g i w x M H 0 m c X V v d D s s J n F 1 b 3 Q 7 U 2 V j d G l v b j E v 0 K j Q u t C w 0 Y T R i y A o M i k v 0 J 3 Q t d G B 0 L L Q t d G A 0 L 3 R g 9 G C 0 Y v Q t S D R g d G C 0 L 7 Q u 9 C x 0 Y b R i y 5 7 0 J f Q v d C w 0 Y f Q t d C 9 0 L j Q t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9 C o 0 L r Q s N G E 0 Y s g K D I p L 9 C d 0 L X R g d C y 0 L X R g N C 9 0 Y P R g t G L 0 L U g 0 Y H R g t C + 0 L v Q s d G G 0 Y s u e 0 N L V S w w f S Z x d W 9 0 O y w m c X V v d D t T Z W N 0 a W 9 u M S / Q q N C 6 0 L D R h N G L I C g y K S / Q n d C 1 0 Y H Q s t C 1 0 Y D Q v d G D 0 Y L R i 9 C 1 I N G B 0 Y L Q v t C 7 0 L H R h t G L L n v Q o d C 1 0 Y D Q u N G P L D F 9 J n F 1 b 3 Q 7 L C Z x d W 9 0 O 1 N l Y 3 R p b 2 4 x L 9 C o 0 L r Q s N G E 0 Y s g K D I p L 9 C d 0 L X R g d C y 0 L X R g N C 9 0 Y P R g t G L 0 L U g 0 Y H R g t C + 0 L v Q s d G G 0 Y s u e 9 C i 0 L j Q v 1 / R i N C 6 0 L D R h N C w L D J 9 J n F 1 b 3 Q 7 L C Z x d W 9 0 O 1 N l Y 3 R p b 2 4 x L 9 C o 0 L r Q s N G E 0 Y s g K D I p L 9 C d 0 L X R g d C y 0 L X R g N C 9 0 Y P R g t G L 0 L U g 0 Y H R g t C + 0 L v Q s d G G 0 Y s u e 9 C S 0 L D R g N C 4 0 L D Q v d G C I N C 4 0 Y H Q v 9 C + 0 L v Q v d C 1 0 L 3 Q u N G P I N G I 0 L r Q s N G E 0 L A s M 3 0 m c X V v d D s s J n F 1 b 3 Q 7 U 2 V j d G l v b j E v 0 K j Q u t C w 0 Y T R i y A o M i k v 0 J 3 Q t d G B 0 L L Q t d G A 0 L 3 R g 9 G C 0 Y v Q t S D R g d G C 0 L 7 Q u 9 C x 0 Y b R i y 5 7 0 K j Q u N G A 0 L j Q v d C w L D R 9 J n F 1 b 3 Q 7 L C Z x d W 9 0 O 1 N l Y 3 R p b 2 4 x L 9 C o 0 L r Q s N G E 0 Y s g K D I p L 9 C d 0 L X R g d C y 0 L X R g N C 9 0 Y P R g t G L 0 L U g 0 Y H R g t C + 0 L v Q s d G G 0 Y s u e 9 C S 0 Y v R g d C + 0 Y L Q s C w 1 f S Z x d W 9 0 O y w m c X V v d D t T Z W N 0 a W 9 u M S / Q q N C 6 0 L D R h N G L I C g y K S / Q n d C 1 0 Y H Q s t C 1 0 Y D Q v d G D 0 Y L R i 9 C 1 I N G B 0 Y L Q v t C 7 0 L H R h t G L L n v Q k 9 C 7 0 Y P Q s d C 4 0 L 3 Q s C w 2 f S Z x d W 9 0 O y w m c X V v d D t T Z W N 0 a W 9 u M S / Q q N C 6 0 L D R h N G L I C g y K S / Q n d C 1 0 Y H Q s t C 1 0 Y D Q v d G D 0 Y L R i 9 C 1 I N G B 0 Y L Q v t C 7 0 L H R h t G L L n v Q n d C w 0 L j Q v N C 1 0 L 3 Q v t C y 0 L D Q v d C 4 0 L U g 0 Y j Q u t C w 0 Y T Q s C D Q v d C w I N G B 0 L D Q u d G C 0 L U s N 3 0 m c X V v d D s s J n F 1 b 3 Q 7 U 2 V j d G l v b j E v 0 K j Q u t C w 0 Y T R i y A o M i k v 0 J 3 Q t d G B 0 L L Q t d G A 0 L 3 R g 9 G C 0 Y v Q t S D R g d G C 0 L 7 Q u 9 C x 0 Y b R i y 5 7 0 J / R g N C 4 0 L f Q v d C w 0 L p f 0 J L Q m F / Q q N C 6 0 L D R h N C w L D h 9 J n F 1 b 3 Q 7 L C Z x d W 9 0 O 1 N l Y 3 R p b 2 4 x L 9 C o 0 L r Q s N G E 0 Y s g K D I p L 9 C d 0 L X R g d C y 0 L X R g N C 9 0 Y P R g t G L 0 L U g 0 Y H R g t C + 0 L v Q s d G G 0 Y s u e 9 C a 0 L 7 Q v N C / 0 L D Q v d C + 0 L L Q u t C w I N C 6 0 L 7 R g N C / 0 Y P R g d C w L D l 9 J n F 1 b 3 Q 7 L C Z x d W 9 0 O 1 N l Y 3 R p b 2 4 x L 9 C o 0 L r Q s N G E 0 Y s g K D I p L 9 C d 0 L X R g d C y 0 L X R g N C 9 0 Y P R g t G L 0 L U g 0 Y H R g t C + 0 L v Q s d G G 0 Y s u e 9 C Q 0 Y L R g N C 4 0 L H R g 9 G C L D E w f S Z x d W 9 0 O y w m c X V v d D t T Z W N 0 a W 9 u M S / Q q N C 6 0 L D R h N G L I C g y K S / Q n d C 1 0 Y H Q s t C 1 0 Y D Q v d G D 0 Y L R i 9 C 1 I N G B 0 Y L Q v t C 7 0 L H R h t G L L n v Q l 9 C 9 0 L D R h 9 C 1 0 L 3 Q u N C 1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4 J U Q w J U J B J U Q w J U I w J U Q x J T g 0 J U Q x J T h C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O C V E M C V C Q S V E M C V C M C V E M S U 4 N C V E M S U 4 Q i U y M C g y K S 9 k Y m 9 f J U Q w J U E w J U Q w J U I 1 J U Q w J U I 3 J U Q x J T g z J U Q w J U J C J U Q x J T h D J U Q x J T g y J U Q w J U I w J U Q x J T g y X y V E M C V B M S V E M S U 4 M i V E M C V C R S V E M C V C O C V E M C V C Q y V E M C V C R S V E M S U 4 M S V E M S U 4 M i V E M S U 4 Q 1 8 l R D E l O D g l R D A l Q k E l R D A l Q j A l R D E l O D Q l R D A l Q k U l R D A l Q j J f Q 1 N L V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O C V E M C V C Q S V E M C V C M C V E M S U 4 N C V E M S U 4 Q i U y M C g y K S 8 l R D A l O U Q l R D A l Q j U l R D E l O D E l R D A l Q j I l R D A l Q j U l R D E l O D A l R D A l Q k Q l R D E l O D M l R D E l O D I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g l R D A l Q k E l R D A l Q j A l R D E l O D Q l R D E l O E I l M j A o M i k v J U Q w J U E 0 J U Q w J U I 4 J U Q w J U J C J U Q x J T h D J U Q x J T g y J U Q x J T g w J U Q w J U I w J U Q x J T g 2 J U Q w J U I 4 J U Q x J T h G J T I w J U Q x J T g 2 J U Q w J U I 1 J U Q w J U J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k Z p b G x l Z E N v b X B s Z X R l U m V z d W x 0 V G 9 X b 3 J r c 2 h l Z X Q i I F Z h b H V l P S J s M C I g L z 4 8 R W 5 0 c n k g V H l w Z T 0 i U X V l c n l J R C I g V m F s d W U 9 I n M 4 Z T I 0 Y T l j Z S 1 i Y T k x L T Q 5 O D Q t Y j Z i O C 1 j Y j Y 5 O W M x Z T I 0 O W Q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R m l s b E x h c 3 R V c G R h d G V k I i B W Y W x 1 Z T 0 i Z D I w M j Q t M T A t M T R U M T Q 6 N T k 6 M T k u O T Y z N z c 4 N 1 o i I C 8 + P E V u d H J 5 I F R 5 c G U 9 I l J l Y 2 9 2 Z X J 5 V G F y Z 2 V 0 U m 9 3 I i B W Y W x 1 Z T 0 i b D I i I C 8 + P E V u d H J 5 I F R 5 c G U 9 I l J l Y 2 9 2 Z X J 5 V G F y Z 2 V 0 Q 2 9 s d W 1 u I i B W Y W x 1 Z T 0 i b D E y I i A v P j x F b n R y e S B U e X B l P S J G a W x s R X J y b 3 J D b 3 V u d C I g V m F s d W U 9 I m w w I i A v P j x F b n R y e S B U e X B l P S J S Z W N v d m V y e V R h c m d l d F N o Z W V 0 I i B W Y W x 1 Z T 0 i c 9 C b 0 L j R g d G C M S I g L z 4 8 R W 5 0 c n k g V H l w Z T 0 i R m l s b E V y c m 9 y Q 2 9 k Z S I g V m F s d W U 9 I n N V b m t u b 3 d u I i A v P j x F b n R y e S B U e X B l P S J Q a X Z v d E 9 i a m V j d E 5 h b W U i I F Z h b H V l P S J z 0 J v Q v t C 6 0 L X R g D E h 0 K H Q s t C + 0 L T Q v d C w 0 Y 8 g 0 Y L Q s N C x 0 L v Q u N G G 0 L A z I i A v P j x F b n R y e S B U e X B l P S J G a W x s Q 2 9 s d W 1 u V H l w Z X M i I F Z h b H V l P S J z Q m d Z R 0 J n W U d C Z 1 l B I i A v P j x F b n R y e S B U e X B l P S J G a W x s Q 2 9 s d W 1 u T m F t Z X M i I F Z h b H V l P S J z W y Z x d W 9 0 O 9 C d 0 L 7 Q v N C 1 0 L 3 Q u t C 7 0 L D R g t G D 0 Y D Q s C Z x d W 9 0 O y w m c X V v d D v Q k t C w 0 Y D Q u N C w 0 L 3 R g l / Q u N G B 0 L / Q v t C 7 0 L 3 Q t d C 9 0 L j R j y Z x d W 9 0 O y w m c X V v d D v Q o d C 1 0 Y D Q u N G P J n F 1 b 3 Q 7 L C Z x d W 9 0 O 9 C o 0 L j R g N C 4 0 L 3 Q s C Z x d W 9 0 O y w m c X V v d D v Q k 9 C 7 0 Y P Q s d C 4 0 L 3 Q s C Z x d W 9 0 O y w m c X V v d D v Q k t G L 0 Y H Q v t G C 0 L A m c X V v d D s s J n F 1 b 3 Q 7 0 J r Q v t C 8 0 L / Q u 9 C 1 0 L r R g t G D 0 Y 7 R i d C w 0 Y 8 m c X V v d D s s J n F 1 b 3 Q 7 0 J D R g t G A 0 L j Q s d G D 0 Y I m c X V v d D s s J n F 1 b 3 Q 7 0 J f Q v d C w 0 Y f Q t d C 9 0 L j Q t S Z x d W 9 0 O 1 0 i I C 8 + P E V u d H J 5 I F R 5 c G U 9 I k Z p b G x D b 3 V u d C I g V m F s d W U 9 I m w 3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G A 0 L 7 R h 9 C 4 0 L U g 0 L T Q v t C / 0 L 7 Q u 9 C 9 0 L X Q v d C 4 0 Y 8 g K D I p L 9 C d 0 L X R g d C y 0 L X R g N C 9 0 Y P R g t G L 0 L U g 0 Y H R g t C + 0 L v Q s d G G 0 Y s u e 9 C d 0 L 7 Q v N C 1 0 L 3 Q u t C 7 0 L D R g t G D 0 Y D Q s C w w f S Z x d W 9 0 O y w m c X V v d D t T Z W N 0 a W 9 u M S / Q n 9 G A 0 L 7 R h 9 C 4 0 L U g 0 L T Q v t C / 0 L 7 Q u 9 C 9 0 L X Q v d C 4 0 Y 8 g K D I p L 9 C d 0 L X R g d C y 0 L X R g N C 9 0 Y P R g t G L 0 L U g 0 Y H R g t C + 0 L v Q s d G G 0 Y s u e 9 C S 0 L D R g N C 4 0 L D Q v d G C X 9 C 4 0 Y H Q v 9 C + 0 L v Q v d C 1 0 L 3 Q u N G P L D F 9 J n F 1 b 3 Q 7 L C Z x d W 9 0 O 1 N l Y 3 R p b 2 4 x L 9 C f 0 Y D Q v t G H 0 L j Q t S D Q t N C + 0 L / Q v t C 7 0 L 3 Q t d C 9 0 L j R j y A o M i k v 0 J 3 Q t d G B 0 L L Q t d G A 0 L 3 R g 9 G C 0 Y v Q t S D R g d G C 0 L 7 Q u 9 C x 0 Y b R i y 5 7 0 K H Q t d G A 0 L j R j y w y f S Z x d W 9 0 O y w m c X V v d D t T Z W N 0 a W 9 u M S / Q n 9 G A 0 L 7 R h 9 C 4 0 L U g 0 L T Q v t C / 0 L 7 Q u 9 C 9 0 L X Q v d C 4 0 Y 8 g K D I p L 9 C d 0 L X R g d C y 0 L X R g N C 9 0 Y P R g t G L 0 L U g 0 Y H R g t C + 0 L v Q s d G G 0 Y s u e 9 C o 0 L j R g N C 4 0 L 3 Q s C w z f S Z x d W 9 0 O y w m c X V v d D t T Z W N 0 a W 9 u M S / Q n 9 G A 0 L 7 R h 9 C 4 0 L U g 0 L T Q v t C / 0 L 7 Q u 9 C 9 0 L X Q v d C 4 0 Y 8 g K D I p L 9 C d 0 L X R g d C y 0 L X R g N C 9 0 Y P R g t G L 0 L U g 0 Y H R g t C + 0 L v Q s d G G 0 Y s u e 9 C T 0 L v R g 9 C x 0 L j Q v d C w L D R 9 J n F 1 b 3 Q 7 L C Z x d W 9 0 O 1 N l Y 3 R p b 2 4 x L 9 C f 0 Y D Q v t G H 0 L j Q t S D Q t N C + 0 L / Q v t C 7 0 L 3 Q t d C 9 0 L j R j y A o M i k v 0 J 3 Q t d G B 0 L L Q t d G A 0 L 3 R g 9 G C 0 Y v Q t S D R g d G C 0 L 7 Q u 9 C x 0 Y b R i y 5 7 0 J L R i 9 G B 0 L 7 R g t C w L D V 9 J n F 1 b 3 Q 7 L C Z x d W 9 0 O 1 N l Y 3 R p b 2 4 x L 9 C f 0 Y D Q v t G H 0 L j Q t S D Q t N C + 0 L / Q v t C 7 0 L 3 Q t d C 9 0 L j R j y A o M i k v 0 J 3 Q t d G B 0 L L Q t d G A 0 L 3 R g 9 G C 0 Y v Q t S D R g d G C 0 L 7 Q u 9 C x 0 Y b R i y 5 7 0 J r Q v t C 8 0 L / Q u 9 C 1 0 L r R g t G D 0 Y 7 R i d C w 0 Y 8 s N n 0 m c X V v d D s s J n F 1 b 3 Q 7 U 2 V j d G l v b j E v 0 J / R g N C + 0 Y f Q u N C 1 I N C 0 0 L 7 Q v 9 C + 0 L v Q v d C 1 0 L 3 Q u N G P I C g y K S / Q n d C 1 0 Y H Q s t C 1 0 Y D Q v d G D 0 Y L R i 9 C 1 I N G B 0 Y L Q v t C 7 0 L H R h t G L L n v Q k N G C 0 Y D Q u N C x 0 Y P R g i w 5 f S Z x d W 9 0 O y w m c X V v d D t T Z W N 0 a W 9 u M S / Q n 9 G A 0 L 7 R h 9 C 4 0 L U g 0 L T Q v t C / 0 L 7 Q u 9 C 9 0 L X Q v d C 4 0 Y 8 g K D I p L 9 C d 0 L X R g d C y 0 L X R g N C 9 0 Y P R g t G L 0 L U g 0 Y H R g t C + 0 L v Q s d G G 0 Y s u e 9 C X 0 L 3 Q s N G H 0 L X Q v d C 4 0 L U s M T B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9 C f 0 Y D Q v t G H 0 L j Q t S D Q t N C + 0 L / Q v t C 7 0 L 3 Q t d C 9 0 L j R j y A o M i k v 0 J 3 Q t d G B 0 L L Q t d G A 0 L 3 R g 9 G C 0 Y v Q t S D R g d G C 0 L 7 Q u 9 C x 0 Y b R i y 5 7 0 J 3 Q v t C 8 0 L X Q v d C 6 0 L v Q s N G C 0 Y P R g N C w L D B 9 J n F 1 b 3 Q 7 L C Z x d W 9 0 O 1 N l Y 3 R p b 2 4 x L 9 C f 0 Y D Q v t G H 0 L j Q t S D Q t N C + 0 L / Q v t C 7 0 L 3 Q t d C 9 0 L j R j y A o M i k v 0 J 3 Q t d G B 0 L L Q t d G A 0 L 3 R g 9 G C 0 Y v Q t S D R g d G C 0 L 7 Q u 9 C x 0 Y b R i y 5 7 0 J L Q s N G A 0 L j Q s N C 9 0 Y J f 0 L j R g d C / 0 L 7 Q u 9 C 9 0 L X Q v d C 4 0 Y 8 s M X 0 m c X V v d D s s J n F 1 b 3 Q 7 U 2 V j d G l v b j E v 0 J / R g N C + 0 Y f Q u N C 1 I N C 0 0 L 7 Q v 9 C + 0 L v Q v d C 1 0 L 3 Q u N G P I C g y K S / Q n d C 1 0 Y H Q s t C 1 0 Y D Q v d G D 0 Y L R i 9 C 1 I N G B 0 Y L Q v t C 7 0 L H R h t G L L n v Q o d C 1 0 Y D Q u N G P L D J 9 J n F 1 b 3 Q 7 L C Z x d W 9 0 O 1 N l Y 3 R p b 2 4 x L 9 C f 0 Y D Q v t G H 0 L j Q t S D Q t N C + 0 L / Q v t C 7 0 L 3 Q t d C 9 0 L j R j y A o M i k v 0 J 3 Q t d G B 0 L L Q t d G A 0 L 3 R g 9 G C 0 Y v Q t S D R g d G C 0 L 7 Q u 9 C x 0 Y b R i y 5 7 0 K j Q u N G A 0 L j Q v d C w L D N 9 J n F 1 b 3 Q 7 L C Z x d W 9 0 O 1 N l Y 3 R p b 2 4 x L 9 C f 0 Y D Q v t G H 0 L j Q t S D Q t N C + 0 L / Q v t C 7 0 L 3 Q t d C 9 0 L j R j y A o M i k v 0 J 3 Q t d G B 0 L L Q t d G A 0 L 3 R g 9 G C 0 Y v Q t S D R g d G C 0 L 7 Q u 9 C x 0 Y b R i y 5 7 0 J P Q u 9 G D 0 L H Q u N C 9 0 L A s N H 0 m c X V v d D s s J n F 1 b 3 Q 7 U 2 V j d G l v b j E v 0 J / R g N C + 0 Y f Q u N C 1 I N C 0 0 L 7 Q v 9 C + 0 L v Q v d C 1 0 L 3 Q u N G P I C g y K S / Q n d C 1 0 Y H Q s t C 1 0 Y D Q v d G D 0 Y L R i 9 C 1 I N G B 0 Y L Q v t C 7 0 L H R h t G L L n v Q k t G L 0 Y H Q v t G C 0 L A s N X 0 m c X V v d D s s J n F 1 b 3 Q 7 U 2 V j d G l v b j E v 0 J / R g N C + 0 Y f Q u N C 1 I N C 0 0 L 7 Q v 9 C + 0 L v Q v d C 1 0 L 3 Q u N G P I C g y K S / Q n d C 1 0 Y H Q s t C 1 0 Y D Q v d G D 0 Y L R i 9 C 1 I N G B 0 Y L Q v t C 7 0 L H R h t G L L n v Q m t C + 0 L z Q v 9 C 7 0 L X Q u t G C 0 Y P R j t G J 0 L D R j y w 2 f S Z x d W 9 0 O y w m c X V v d D t T Z W N 0 a W 9 u M S / Q n 9 G A 0 L 7 R h 9 C 4 0 L U g 0 L T Q v t C / 0 L 7 Q u 9 C 9 0 L X Q v d C 4 0 Y 8 g K D I p L 9 C d 0 L X R g d C y 0 L X R g N C 9 0 Y P R g t G L 0 L U g 0 Y H R g t C + 0 L v Q s d G G 0 Y s u e 9 C Q 0 Y L R g N C 4 0 L H R g 9 G C L D l 9 J n F 1 b 3 Q 7 L C Z x d W 9 0 O 1 N l Y 3 R p b 2 4 x L 9 C f 0 Y D Q v t G H 0 L j Q t S D Q t N C + 0 L / Q v t C 7 0 L 3 Q t d C 9 0 L j R j y A o M i k v 0 J 3 Q t d G B 0 L L Q t d G A 0 L 3 R g 9 G C 0 Y v Q t S D R g d G C 0 L 7 Q u 9 C x 0 Y b R i y 5 7 0 J f Q v d C w 0 Y f Q t d C 9 0 L j Q t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l M j A o M i k v Z G J v X y V E M C V B M C V E M C V C N S V E M C V C N y V E M S U 4 M y V E M C V C Q i V E M S U 4 Q y V E M S U 4 M i V E M C V C M C V E M S U 4 M l 8 l R D A l Q T E l R D E l O D Q l R D A l Q k U l R D E l O D A l R D A l Q k M l R D A l Q j g l R D E l O D A l R D A l Q k U l R D A l Q j I l R D A l Q j A l R D A l Q k Q l R D A l Q k Q l R D E l O E I l R D A l Q j V f J U Q x J T g 2 J U Q w J U I 1 J U Q w J U J E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J T I w K D I p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l M j A o M i k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J T I w K D I p L y V E M C U 5 R C V E M C V C N S V E M S U 4 M S V E M C V C M i V E M C V C N S V E M S U 4 M C V E M C V C R C V E M S U 4 M y V E M S U 4 M i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J T I w K D I p L y V E M C V B N C V E M C V C O C V E M C V C Q i V E M S U 4 Q y V E M S U 4 M i V E M S U 4 M C V E M C V C M C V E M S U 4 N i V E M C V C O C V E M S U 4 R i U y M C V E M S U 4 N i V E M C V C N S V E M C V C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S Z W N v d m V y e V R h c m d l d F J v d y I g V m F s d W U 9 I m w y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Y 2 9 2 Z X J 5 V G F y Z 2 V 0 Q 2 9 s d W 1 u I i B W Y W x 1 Z T 0 i b D E y I i A v P j x F b n R y e S B U e X B l P S J S Z W N v d m V y e V R h c m d l d F N o Z W V 0 I i B W Y W x 1 Z T 0 i c 9 C b 0 L j R g d G C M S I g L z 4 8 R W 5 0 c n k g V H l w Z T 0 i U X V l c n l J R C I g V m F s d W U 9 I n M 4 Z T I 0 Y T l j Z S 1 i Y T k x L T Q 5 O D Q t Y j Z i O C 1 j Y j Y 5 O W M x Z T I 0 O W Q i I C 8 + P E V u d H J 5 I F R 5 c G U 9 I l B p d m 9 0 T 2 J q Z W N 0 T m F t Z S I g V m F s d W U 9 I n P Q m 9 C 4 0 Y H R g j E h 0 K H Q s t C + 0 L T Q v d C w 0 Y 8 g 0 Y L Q s N C x 0 L v Q u N G G 0 L A 0 I i A v P j x F b n R y e S B U e X B l P S J G a W x s V G 9 E Y X R h T W 9 k Z W x F b m F i b G V k I i B W Y W x 1 Z T 0 i b D A i I C 8 + P E V u d H J 5 I F R 5 c G U 9 I k Z p b G x P Y m p l Y 3 R U e X B l I i B W Y W x 1 Z T 0 i c 1 B p d m 9 0 V G F i b G U i I C 8 + P E V u d H J 5 I F R 5 c G U 9 I k Z p b G x M Y X N 0 V X B k Y X R l Z C I g V m F s d W U 9 I m Q y M D I 0 L T E w L T E 0 V D E 0 O j U 5 O j E 5 L j k 4 N T I y M z h a I i A v P j x F b n R y e S B U e X B l P S J G a W x s R X J y b 3 J D b 3 V u d C I g V m F s d W U 9 I m w w I i A v P j x F b n R y e S B U e X B l P S J G a W x s Q 2 9 s d W 1 u V H l w Z X M i I F Z h b H V l P S J z Q W d V R k J n W U d C Z 1 l H Q m d V R 0 F B P T 0 i I C 8 + P E V u d H J 5 I F R 5 c G U 9 I k Z p b G x F c n J v c k N v Z G U i I F Z h b H V l P S J z V W 5 r b m 9 3 b i I g L z 4 8 R W 5 0 c n k g V H l w Z T 0 i R m l s b E N v b H V t b k 5 h b W V z I i B W Y W x 1 Z T 0 i c 1 s m c X V v d D v Q m t C + 0 L Q m c X V v d D s s J n F 1 b 3 Q 7 0 J r Q v t C 0 X 9 C d 0 L 7 Q v N C 1 0 L 3 Q u t C 7 0 L D R g t G D 0 Y D R i y Z x d W 9 0 O y w m c X V v d D v Q m t C + 0 L R f 0 J L Q m C Z x d W 9 0 O y w m c X V v d D v Q n d C + 0 L z Q t d C 9 0 L r Q u 9 C w 0 Y L R g 9 G A 0 L A m c X V v d D s s J n F 1 b 3 Q 7 0 J L Q s N G A 0 L j Q s N C 9 0 Y J f 0 L j R g d C / 0 L 7 Q u 9 C 9 0 L X Q v d C 4 0 Y 8 m c X V v d D s s J n F 1 b 3 Q 7 0 K H Q t d G A 0 L j R j y Z x d W 9 0 O y w m c X V v d D v Q q N C 4 0 Y D Q u N C 9 0 L A m c X V v d D s s J n F 1 b 3 Q 7 0 J P Q u 9 G D 0 L H Q u N C 9 0 L A m c X V v d D s s J n F 1 b 3 Q 7 0 J L R i 9 G B 0 L 7 R g t C w J n F 1 b 3 Q 7 L C Z x d W 9 0 O 9 C a 0 L 7 Q v N C / 0 L v Q t d C 6 0 Y L R g 9 G O 0 Y n Q s N G P J n F 1 b 3 Q 7 L C Z x d W 9 0 O 9 C a 0 L 7 R j d G E 0 Y T Q u N G G 0 L j Q t d C 9 0 Y L Q n t C / 0 Y L Q s C Z x d W 9 0 O y w m c X V v d D v Q k N G C 0 Y D Q u N C x 0 Y P R g i Z x d W 9 0 O y w m c X V v d D v Q l 9 C 9 0 L D R h 9 C 1 0 L 3 Q u N C 1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G A 0 L 7 R h 9 C 4 0 L U g 0 L T Q v t C / 0 L 7 Q u 9 C 9 0 L X Q v d C 4 0 Y 8 g K D M p L 9 C d 0 L X R g d C y 0 L X R g N C 9 0 Y P R g t G L 0 L U g 0 Y H R g t C + 0 L v Q s d G G 0 Y s u e 9 C a 0 L 7 Q t C w w f S Z x d W 9 0 O y w m c X V v d D t T Z W N 0 a W 9 u M S / Q n 9 G A 0 L 7 R h 9 C 4 0 L U g 0 L T Q v t C / 0 L 7 Q u 9 C 9 0 L X Q v d C 4 0 Y 8 g K D M p L 9 C d 0 L X R g d C y 0 L X R g N C 9 0 Y P R g t G L 0 L U g 0 Y H R g t C + 0 L v Q s d G G 0 Y s u e 9 C a 0 L 7 Q t F / Q n d C + 0 L z Q t d C 9 0 L r Q u 9 C w 0 Y L R g 9 G A 0 Y s s M X 0 m c X V v d D s s J n F 1 b 3 Q 7 U 2 V j d G l v b j E v 0 J / R g N C + 0 Y f Q u N C 1 I N C 0 0 L 7 Q v 9 C + 0 L v Q v d C 1 0 L 3 Q u N G P I C g z K S / Q n d C 1 0 Y H Q s t C 1 0 Y D Q v d G D 0 Y L R i 9 C 1 I N G B 0 Y L Q v t C 7 0 L H R h t G L L n v Q m t C + 0 L R f 0 J L Q m C w y f S Z x d W 9 0 O y w m c X V v d D t T Z W N 0 a W 9 u M S / Q n 9 G A 0 L 7 R h 9 C 4 0 L U g 0 L T Q v t C / 0 L 7 Q u 9 C 9 0 L X Q v d C 4 0 Y 8 g K D M p L 9 C d 0 L X R g d C y 0 L X R g N C 9 0 Y P R g t G L 0 L U g 0 Y H R g t C + 0 L v Q s d G G 0 Y s u e 9 C d 0 L 7 Q v N C 1 0 L 3 Q u t C 7 0 L D R g t G D 0 Y D Q s C w z f S Z x d W 9 0 O y w m c X V v d D t T Z W N 0 a W 9 u M S / Q n 9 G A 0 L 7 R h 9 C 4 0 L U g 0 L T Q v t C / 0 L 7 Q u 9 C 9 0 L X Q v d C 4 0 Y 8 g K D M p L 9 C d 0 L X R g d C y 0 L X R g N C 9 0 Y P R g t G L 0 L U g 0 Y H R g t C + 0 L v Q s d G G 0 Y s u e 9 C S 0 L D R g N C 4 0 L D Q v d G C X 9 C 4 0 Y H Q v 9 C + 0 L v Q v d C 1 0 L 3 Q u N G P L D R 9 J n F 1 b 3 Q 7 L C Z x d W 9 0 O 1 N l Y 3 R p b 2 4 x L 9 C f 0 Y D Q v t G H 0 L j Q t S D Q t N C + 0 L / Q v t C 7 0 L 3 Q t d C 9 0 L j R j y A o M y k v 0 J 3 Q t d G B 0 L L Q t d G A 0 L 3 R g 9 G C 0 Y v Q t S D R g d G C 0 L 7 Q u 9 C x 0 Y b R i y 5 7 0 K H Q t d G A 0 L j R j y w 1 f S Z x d W 9 0 O y w m c X V v d D t T Z W N 0 a W 9 u M S / Q n 9 G A 0 L 7 R h 9 C 4 0 L U g 0 L T Q v t C / 0 L 7 Q u 9 C 9 0 L X Q v d C 4 0 Y 8 g K D M p L 9 C d 0 L X R g d C y 0 L X R g N C 9 0 Y P R g t G L 0 L U g 0 Y H R g t C + 0 L v Q s d G G 0 Y s u e 9 C o 0 L j R g N C 4 0 L 3 Q s C w 2 f S Z x d W 9 0 O y w m c X V v d D t T Z W N 0 a W 9 u M S / Q n 9 G A 0 L 7 R h 9 C 4 0 L U g 0 L T Q v t C / 0 L 7 Q u 9 C 9 0 L X Q v d C 4 0 Y 8 g K D M p L 9 C d 0 L X R g d C y 0 L X R g N C 9 0 Y P R g t G L 0 L U g 0 Y H R g t C + 0 L v Q s d G G 0 Y s u e 9 C T 0 L v R g 9 C x 0 L j Q v d C w L D d 9 J n F 1 b 3 Q 7 L C Z x d W 9 0 O 1 N l Y 3 R p b 2 4 x L 9 C f 0 Y D Q v t G H 0 L j Q t S D Q t N C + 0 L / Q v t C 7 0 L 3 Q t d C 9 0 L j R j y A o M y k v 0 J 3 Q t d G B 0 L L Q t d G A 0 L 3 R g 9 G C 0 Y v Q t S D R g d G C 0 L 7 Q u 9 C x 0 Y b R i y 5 7 0 J L R i 9 G B 0 L 7 R g t C w L D h 9 J n F 1 b 3 Q 7 L C Z x d W 9 0 O 1 N l Y 3 R p b 2 4 x L 9 C f 0 Y D Q v t G H 0 L j Q t S D Q t N C + 0 L / Q v t C 7 0 L 3 Q t d C 9 0 L j R j y A o M y k v 0 J 3 Q t d G B 0 L L Q t d G A 0 L 3 R g 9 G C 0 Y v Q t S D R g d G C 0 L 7 Q u 9 C x 0 Y b R i y 5 7 0 J r Q v t C 8 0 L / Q u 9 C 1 0 L r R g t G D 0 Y 7 R i d C w 0 Y 8 s O X 0 m c X V v d D s s J n F 1 b 3 Q 7 U 2 V j d G l v b j E v 0 J / R g N C + 0 Y f Q u N C 1 I N C 0 0 L 7 Q v 9 C + 0 L v Q v d C 1 0 L 3 Q u N G P I C g z K S / Q n d C 1 0 Y H Q s t C 1 0 Y D Q v d G D 0 Y L R i 9 C 1 I N G B 0 Y L Q v t C 7 0 L H R h t G L L n v Q m t C + 0 Y 3 R h N G E 0 L j R h t C 4 0 L X Q v d G C 0 J 7 Q v 9 G C 0 L A s M T B 9 J n F 1 b 3 Q 7 L C Z x d W 9 0 O 1 N l Y 3 R p b 2 4 x L 9 C f 0 Y D Q v t G H 0 L j Q t S D Q t N C + 0 L / Q v t C 7 0 L 3 Q t d C 9 0 L j R j y A o M y k v 0 J 3 Q t d G B 0 L L Q t d G A 0 L 3 R g 9 G C 0 Y v Q t S D R g d G C 0 L 7 Q u 9 C x 0 Y b R i y 5 7 0 J D R g t G A 0 L j Q s d G D 0 Y I s M T F 9 J n F 1 b 3 Q 7 L C Z x d W 9 0 O 1 N l Y 3 R p b 2 4 x L 9 C f 0 Y D Q v t G H 0 L j Q t S D Q t N C + 0 L / Q v t C 7 0 L 3 Q t d C 9 0 L j R j y A o M y k v 0 J 3 Q t d G B 0 L L Q t d G A 0 L 3 R g 9 G C 0 Y v Q t S D R g d G C 0 L 7 Q u 9 C x 0 Y b R i y 5 7 0 J f Q v d C w 0 Y f Q t d C 9 0 L j Q t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9 C f 0 Y D Q v t G H 0 L j Q t S D Q t N C + 0 L / Q v t C 7 0 L 3 Q t d C 9 0 L j R j y A o M y k v 0 J 3 Q t d G B 0 L L Q t d G A 0 L 3 R g 9 G C 0 Y v Q t S D R g d G C 0 L 7 Q u 9 C x 0 Y b R i y 5 7 0 J r Q v t C 0 L D B 9 J n F 1 b 3 Q 7 L C Z x d W 9 0 O 1 N l Y 3 R p b 2 4 x L 9 C f 0 Y D Q v t G H 0 L j Q t S D Q t N C + 0 L / Q v t C 7 0 L 3 Q t d C 9 0 L j R j y A o M y k v 0 J 3 Q t d G B 0 L L Q t d G A 0 L 3 R g 9 G C 0 Y v Q t S D R g d G C 0 L 7 Q u 9 C x 0 Y b R i y 5 7 0 J r Q v t C 0 X 9 C d 0 L 7 Q v N C 1 0 L 3 Q u t C 7 0 L D R g t G D 0 Y D R i y w x f S Z x d W 9 0 O y w m c X V v d D t T Z W N 0 a W 9 u M S / Q n 9 G A 0 L 7 R h 9 C 4 0 L U g 0 L T Q v t C / 0 L 7 Q u 9 C 9 0 L X Q v d C 4 0 Y 8 g K D M p L 9 C d 0 L X R g d C y 0 L X R g N C 9 0 Y P R g t G L 0 L U g 0 Y H R g t C + 0 L v Q s d G G 0 Y s u e 9 C a 0 L 7 Q t F / Q k t C Y L D J 9 J n F 1 b 3 Q 7 L C Z x d W 9 0 O 1 N l Y 3 R p b 2 4 x L 9 C f 0 Y D Q v t G H 0 L j Q t S D Q t N C + 0 L / Q v t C 7 0 L 3 Q t d C 9 0 L j R j y A o M y k v 0 J 3 Q t d G B 0 L L Q t d G A 0 L 3 R g 9 G C 0 Y v Q t S D R g d G C 0 L 7 Q u 9 C x 0 Y b R i y 5 7 0 J 3 Q v t C 8 0 L X Q v d C 6 0 L v Q s N G C 0 Y P R g N C w L D N 9 J n F 1 b 3 Q 7 L C Z x d W 9 0 O 1 N l Y 3 R p b 2 4 x L 9 C f 0 Y D Q v t G H 0 L j Q t S D Q t N C + 0 L / Q v t C 7 0 L 3 Q t d C 9 0 L j R j y A o M y k v 0 J 3 Q t d G B 0 L L Q t d G A 0 L 3 R g 9 G C 0 Y v Q t S D R g d G C 0 L 7 Q u 9 C x 0 Y b R i y 5 7 0 J L Q s N G A 0 L j Q s N C 9 0 Y J f 0 L j R g d C / 0 L 7 Q u 9 C 9 0 L X Q v d C 4 0 Y 8 s N H 0 m c X V v d D s s J n F 1 b 3 Q 7 U 2 V j d G l v b j E v 0 J / R g N C + 0 Y f Q u N C 1 I N C 0 0 L 7 Q v 9 C + 0 L v Q v d C 1 0 L 3 Q u N G P I C g z K S / Q n d C 1 0 Y H Q s t C 1 0 Y D Q v d G D 0 Y L R i 9 C 1 I N G B 0 Y L Q v t C 7 0 L H R h t G L L n v Q o d C 1 0 Y D Q u N G P L D V 9 J n F 1 b 3 Q 7 L C Z x d W 9 0 O 1 N l Y 3 R p b 2 4 x L 9 C f 0 Y D Q v t G H 0 L j Q t S D Q t N C + 0 L / Q v t C 7 0 L 3 Q t d C 9 0 L j R j y A o M y k v 0 J 3 Q t d G B 0 L L Q t d G A 0 L 3 R g 9 G C 0 Y v Q t S D R g d G C 0 L 7 Q u 9 C x 0 Y b R i y 5 7 0 K j Q u N G A 0 L j Q v d C w L D Z 9 J n F 1 b 3 Q 7 L C Z x d W 9 0 O 1 N l Y 3 R p b 2 4 x L 9 C f 0 Y D Q v t G H 0 L j Q t S D Q t N C + 0 L / Q v t C 7 0 L 3 Q t d C 9 0 L j R j y A o M y k v 0 J 3 Q t d G B 0 L L Q t d G A 0 L 3 R g 9 G C 0 Y v Q t S D R g d G C 0 L 7 Q u 9 C x 0 Y b R i y 5 7 0 J P Q u 9 G D 0 L H Q u N C 9 0 L A s N 3 0 m c X V v d D s s J n F 1 b 3 Q 7 U 2 V j d G l v b j E v 0 J / R g N C + 0 Y f Q u N C 1 I N C 0 0 L 7 Q v 9 C + 0 L v Q v d C 1 0 L 3 Q u N G P I C g z K S / Q n d C 1 0 Y H Q s t C 1 0 Y D Q v d G D 0 Y L R i 9 C 1 I N G B 0 Y L Q v t C 7 0 L H R h t G L L n v Q k t G L 0 Y H Q v t G C 0 L A s O H 0 m c X V v d D s s J n F 1 b 3 Q 7 U 2 V j d G l v b j E v 0 J / R g N C + 0 Y f Q u N C 1 I N C 0 0 L 7 Q v 9 C + 0 L v Q v d C 1 0 L 3 Q u N G P I C g z K S / Q n d C 1 0 Y H Q s t C 1 0 Y D Q v d G D 0 Y L R i 9 C 1 I N G B 0 Y L Q v t C 7 0 L H R h t G L L n v Q m t C + 0 L z Q v 9 C 7 0 L X Q u t G C 0 Y P R j t G J 0 L D R j y w 5 f S Z x d W 9 0 O y w m c X V v d D t T Z W N 0 a W 9 u M S / Q n 9 G A 0 L 7 R h 9 C 4 0 L U g 0 L T Q v t C / 0 L 7 Q u 9 C 9 0 L X Q v d C 4 0 Y 8 g K D M p L 9 C d 0 L X R g d C y 0 L X R g N C 9 0 Y P R g t G L 0 L U g 0 Y H R g t C + 0 L v Q s d G G 0 Y s u e 9 C a 0 L 7 R j d G E 0 Y T Q u N G G 0 L j Q t d C 9 0 Y L Q n t C / 0 Y L Q s C w x M H 0 m c X V v d D s s J n F 1 b 3 Q 7 U 2 V j d G l v b j E v 0 J / R g N C + 0 Y f Q u N C 1 I N C 0 0 L 7 Q v 9 C + 0 L v Q v d C 1 0 L 3 Q u N G P I C g z K S / Q n d C 1 0 Y H Q s t C 1 0 Y D Q v d G D 0 Y L R i 9 C 1 I N G B 0 Y L Q v t C 7 0 L H R h t G L L n v Q k N G C 0 Y D Q u N C x 0 Y P R g i w x M X 0 m c X V v d D s s J n F 1 b 3 Q 7 U 2 V j d G l v b j E v 0 J / R g N C + 0 Y f Q u N C 1 I N C 0 0 L 7 Q v 9 C + 0 L v Q v d C 1 0 L 3 Q u N G P I C g z K S / Q n d C 1 0 Y H Q s t C 1 0 Y D Q v d G D 0 Y L R i 9 C 1 I N G B 0 Y L Q v t C 7 0 L H R h t G L L n v Q l 9 C 9 0 L D R h 9 C 1 0 L 3 Q u N C 1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J T I w K D M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z K S 9 k Y m 9 f J U Q w J U E w J U Q w J U I 1 J U Q w J U I 3 J U Q x J T g z J U Q w J U J C J U Q x J T h D J U Q x J T g y J U Q w J U I w J U Q x J T g y X y V E M C V B M S V E M S U 4 N C V E M C V C R S V E M S U 4 M C V E M C V C Q y V E M C V C O C V E M S U 4 M C V E M C V C R S V E M C V C M i V E M C V C M C V E M C V C R C V E M C V C R C V E M S U 4 Q i V E M C V C N V 8 l R D E l O D Y l R D A l Q j U l R D A l Q k Q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l M j A o M y k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z K S 8 l R D A l Q T E l R D A l Q k U l R D E l O D A l R D E l O D I l R D A l Q j g l R D E l O D A l R D A l Q k U l R D A l Q j I l R D A l Q j A l R D A l Q k Q l R D A l Q k Q l R D E l O E I l R D A l Q j U l M j A l R D E l O D E l R D E l O D I l R D E l O D A l R D A l Q k U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l M j A o M y k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J T I w K D M p L y V E M C U 5 R C V E M C V C N S V E M S U 4 M S V E M C V C M i V E M C V C N S V E M S U 4 M C V E M C V C R C V E M S U 4 M y V E M S U 4 M i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z K S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c l R D E l O D M l R D A l Q k I l R D E l O E M l R D E l O D I l R D A l Q j A l R D E l O D J f J U Q w J U E x J U Q x J T g 0 J U Q w J U J F J U Q x J T g w J U Q w J U J D J U Q w J U I 4 J U Q x J T g w J U Q w J U J F J U Q w J U I y J U Q w J U I w J U Q w J U J E J U Q w J U J E J U Q x J T h C J U Q w J U I 1 X y V E M S U 4 N i V E M C V C N S V E M C V C R C V E M S U 4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l B p d m 9 0 T 2 J q Z W N 0 T m F t Z S I g V m F s d W U 9 I n P Q m 9 C 4 0 Y H R g j E h 0 K H Q s t C + 0 L T Q v d C w 0 Y 8 g 0 Y L Q s N C x 0 L v Q u N G G 0 L A y I i A v P j x F b n R y e S B U e X B l P S J G a W x s Z W R D b 2 1 w b G V 0 Z V J l c 3 V s d F R v V 2 9 y a 3 N o Z W V 0 I i B W Y W x 1 Z T 0 i b D A i I C 8 + P E V u d H J 5 I F R 5 c G U 9 I l F 1 Z X J 5 S U Q i I F Z h b H V l P S J z O W R j M j A 3 N z E t Z G U 2 Z S 0 0 M T M 5 L W F k O D A t N T c z Y T B k M T g 0 Y m V m I i A v P j x F b n R y e S B U e X B l P S J G a W x s T G F z d F V w Z G F 0 Z W Q i I F Z h b H V l P S J k M j A y N C 0 x M C 0 x N F Q x N D o 1 O T o y M C 4 w M D A x M D U 2 W i I g L z 4 8 R W 5 0 c n k g V H l w Z T 0 i R m l s b E V y c m 9 y Q 2 9 1 b n Q i I F Z h b H V l P S J s M C I g L z 4 8 R W 5 0 c n k g V H l w Z T 0 i R m l s b E N v b H V t b l R 5 c G V z I i B W Y W x 1 Z T 0 i c 0 F n V U Z C Z 1 l H Q m d Z R 0 J n V U d B Q T 0 9 I i A v P j x F b n R y e S B U e X B l P S J G a W x s R X J y b 3 J D b 2 R l I i B W Y W x 1 Z T 0 i c 1 V u a 2 5 v d 2 4 i I C 8 + P E V u d H J 5 I F R 5 c G U 9 I k Z p b G x D b 2 x 1 b W 5 O Y W 1 l c y I g V m F s d W U 9 I n N b J n F 1 b 3 Q 7 0 J r Q v t C 0 J n F 1 b 3 Q 7 L C Z x d W 9 0 O 9 C a 0 L 7 Q t F / Q n d C + 0 L z Q t d C 9 0 L r Q u 9 C w 0 Y L R g 9 G A 0 Y s m c X V v d D s s J n F 1 b 3 Q 7 0 J r Q v t C 0 X 9 C S 0 J g m c X V v d D s s J n F 1 b 3 Q 7 0 J 3 Q v t C 8 0 L X Q v d C 6 0 L v Q s N G C 0 Y P R g N C w J n F 1 b 3 Q 7 L C Z x d W 9 0 O 9 C S 0 L D R g N C 4 0 L D Q v d G C X 9 C 4 0 Y H Q v 9 C + 0 L v Q v d C 1 0 L 3 Q u N G P J n F 1 b 3 Q 7 L C Z x d W 9 0 O 9 C h 0 L X R g N C 4 0 Y 8 m c X V v d D s s J n F 1 b 3 Q 7 0 K j Q u N G A 0 L j Q v d C w J n F 1 b 3 Q 7 L C Z x d W 9 0 O 9 C T 0 L v R g 9 C x 0 L j Q v d C w J n F 1 b 3 Q 7 L C Z x d W 9 0 O 9 C S 0 Y v R g d C + 0 Y L Q s C Z x d W 9 0 O y w m c X V v d D v Q m t C + 0 L z Q v 9 C 7 0 L X Q u t G C 0 Y P R j t G J 0 L D R j y Z x d W 9 0 O y w m c X V v d D v Q m t C + 0 Y 3 R h N G E 0 L j R h t C 4 0 L X Q v d G C 0 J 7 Q v 9 G C 0 L A m c X V v d D s s J n F 1 b 3 Q 7 0 J D R g t G A 0 L j Q s d G D 0 Y I m c X V v d D s s J n F 1 b 3 Q 7 0 J f Q v d C w 0 Y f Q t d C 9 0 L j Q t S Z x d W 9 0 O 1 0 i I C 8 + P E V u d H J 5 I F R 5 c G U 9 I k Z p b G x D b 3 V u d C I g V m F s d W U 9 I m w x O D k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g 0 L X Q t 9 G D 0 L v R j N G C 0 L D R g l / Q o d G E 0 L 7 R g N C 8 0 L j R g N C + 0 L L Q s N C 9 0 L 3 R i 9 C 1 X 9 G G 0 L X Q v d G L L 9 C d 0 L X R g d C y 0 L X R g N C 9 0 Y P R g t G L 0 L U g 0 Y H R g t C + 0 L v Q s d G G 0 Y s u e 9 C a 0 L 7 Q t C w w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m t C + 0 L R f 0 J 3 Q v t C 8 0 L X Q v d C 6 0 L v Q s N G C 0 Y P R g N G L L D F 9 J n F 1 b 3 Q 7 L C Z x d W 9 0 O 1 N l Y 3 R p b 2 4 x L 9 C g 0 L X Q t 9 G D 0 L v R j N G C 0 L D R g l / Q o d G E 0 L 7 R g N C 8 0 L j R g N C + 0 L L Q s N C 9 0 L 3 R i 9 C 1 X 9 G G 0 L X Q v d G L L 9 C d 0 L X R g d C y 0 L X R g N C 9 0 Y P R g t G L 0 L U g 0 Y H R g t C + 0 L v Q s d G G 0 Y s u e 9 C a 0 L 7 Q t F / Q k t C Y L D J 9 J n F 1 b 3 Q 7 L C Z x d W 9 0 O 1 N l Y 3 R p b 2 4 x L 9 C g 0 L X Q t 9 G D 0 L v R j N G C 0 L D R g l / Q o d G E 0 L 7 R g N C 8 0 L j R g N C + 0 L L Q s N C 9 0 L 3 R i 9 C 1 X 9 G G 0 L X Q v d G L L 9 C d 0 L X R g d C y 0 L X R g N C 9 0 Y P R g t G L 0 L U g 0 Y H R g t C + 0 L v Q s d G G 0 Y s u e 9 C d 0 L 7 Q v N C 1 0 L 3 Q u t C 7 0 L D R g t G D 0 Y D Q s C w z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k t C w 0 Y D Q u N C w 0 L 3 R g l / Q u N G B 0 L / Q v t C 7 0 L 3 Q t d C 9 0 L j R j y w 0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o d C 1 0 Y D Q u N G P L D V 9 J n F 1 b 3 Q 7 L C Z x d W 9 0 O 1 N l Y 3 R p b 2 4 x L 9 C g 0 L X Q t 9 G D 0 L v R j N G C 0 L D R g l / Q o d G E 0 L 7 R g N C 8 0 L j R g N C + 0 L L Q s N C 9 0 L 3 R i 9 C 1 X 9 G G 0 L X Q v d G L L 9 C d 0 L X R g d C y 0 L X R g N C 9 0 Y P R g t G L 0 L U g 0 Y H R g t C + 0 L v Q s d G G 0 Y s u e 9 C o 0 L j R g N C 4 0 L 3 Q s C w 2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k 9 C 7 0 Y P Q s d C 4 0 L 3 Q s C w 3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k t G L 0 Y H Q v t G C 0 L A s O H 0 m c X V v d D s s J n F 1 b 3 Q 7 U 2 V j d G l v b j E v 0 K D Q t d C 3 0 Y P Q u 9 G M 0 Y L Q s N G C X 9 C h 0 Y T Q v t G A 0 L z Q u N G A 0 L 7 Q s t C w 0 L 3 Q v d G L 0 L V f 0 Y b Q t d C 9 0 Y s v 0 J 3 Q t d G B 0 L L Q t d G A 0 L 3 R g 9 G C 0 Y v Q t S D R g d G C 0 L 7 Q u 9 C x 0 Y b R i y 5 7 0 J r Q v t C 8 0 L / Q u 9 C 1 0 L r R g t G D 0 Y 7 R i d C w 0 Y 8 s O X 0 m c X V v d D s s J n F 1 b 3 Q 7 U 2 V j d G l v b j E v 0 K D Q t d C 3 0 Y P Q u 9 G M 0 Y L Q s N G C X 9 C h 0 Y T Q v t G A 0 L z Q u N G A 0 L 7 Q s t C w 0 L 3 Q v d G L 0 L V f 0 Y b Q t d C 9 0 Y s v 0 J 3 Q t d G B 0 L L Q t d G A 0 L 3 R g 9 G C 0 Y v Q t S D R g d G C 0 L 7 Q u 9 C x 0 Y b R i y 5 7 0 J r Q v t G N 0 Y T R h N C 4 0 Y b Q u N C 1 0 L 3 R g t C e 0 L / R g t C w L D E w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k N G C 0 Y D Q u N C x 0 Y P R g i w x M 3 0 m c X V v d D s s J n F 1 b 3 Q 7 U 2 V j d G l v b j E v 0 K D Q t d C 3 0 Y P Q u 9 G M 0 Y L Q s N G C X 9 C h 0 Y T Q v t G A 0 L z Q u N G A 0 L 7 Q s t C w 0 L 3 Q v d G L 0 L V f 0 Y b Q t d C 9 0 Y s v 0 J 3 Q t d G B 0 L L Q t d G A 0 L 3 R g 9 G C 0 Y v Q t S D R g d G C 0 L 7 Q u 9 C x 0 Y b R i y 5 7 0 J f Q v d C w 0 Y f Q t d C 9 0 L j Q t S w x N H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9 C g 0 L X Q t 9 G D 0 L v R j N G C 0 L D R g l / Q o d G E 0 L 7 R g N C 8 0 L j R g N C + 0 L L Q s N C 9 0 L 3 R i 9 C 1 X 9 G G 0 L X Q v d G L L 9 C d 0 L X R g d C y 0 L X R g N C 9 0 Y P R g t G L 0 L U g 0 Y H R g t C + 0 L v Q s d G G 0 Y s u e 9 C a 0 L 7 Q t C w w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m t C + 0 L R f 0 J 3 Q v t C 8 0 L X Q v d C 6 0 L v Q s N G C 0 Y P R g N G L L D F 9 J n F 1 b 3 Q 7 L C Z x d W 9 0 O 1 N l Y 3 R p b 2 4 x L 9 C g 0 L X Q t 9 G D 0 L v R j N G C 0 L D R g l / Q o d G E 0 L 7 R g N C 8 0 L j R g N C + 0 L L Q s N C 9 0 L 3 R i 9 C 1 X 9 G G 0 L X Q v d G L L 9 C d 0 L X R g d C y 0 L X R g N C 9 0 Y P R g t G L 0 L U g 0 Y H R g t C + 0 L v Q s d G G 0 Y s u e 9 C a 0 L 7 Q t F / Q k t C Y L D J 9 J n F 1 b 3 Q 7 L C Z x d W 9 0 O 1 N l Y 3 R p b 2 4 x L 9 C g 0 L X Q t 9 G D 0 L v R j N G C 0 L D R g l / Q o d G E 0 L 7 R g N C 8 0 L j R g N C + 0 L L Q s N C 9 0 L 3 R i 9 C 1 X 9 G G 0 L X Q v d G L L 9 C d 0 L X R g d C y 0 L X R g N C 9 0 Y P R g t G L 0 L U g 0 Y H R g t C + 0 L v Q s d G G 0 Y s u e 9 C d 0 L 7 Q v N C 1 0 L 3 Q u t C 7 0 L D R g t G D 0 Y D Q s C w z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k t C w 0 Y D Q u N C w 0 L 3 R g l / Q u N G B 0 L / Q v t C 7 0 L 3 Q t d C 9 0 L j R j y w 0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o d C 1 0 Y D Q u N G P L D V 9 J n F 1 b 3 Q 7 L C Z x d W 9 0 O 1 N l Y 3 R p b 2 4 x L 9 C g 0 L X Q t 9 G D 0 L v R j N G C 0 L D R g l / Q o d G E 0 L 7 R g N C 8 0 L j R g N C + 0 L L Q s N C 9 0 L 3 R i 9 C 1 X 9 G G 0 L X Q v d G L L 9 C d 0 L X R g d C y 0 L X R g N C 9 0 Y P R g t G L 0 L U g 0 Y H R g t C + 0 L v Q s d G G 0 Y s u e 9 C o 0 L j R g N C 4 0 L 3 Q s C w 2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k 9 C 7 0 Y P Q s d C 4 0 L 3 Q s C w 3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k t G L 0 Y H Q v t G C 0 L A s O H 0 m c X V v d D s s J n F 1 b 3 Q 7 U 2 V j d G l v b j E v 0 K D Q t d C 3 0 Y P Q u 9 G M 0 Y L Q s N G C X 9 C h 0 Y T Q v t G A 0 L z Q u N G A 0 L 7 Q s t C w 0 L 3 Q v d G L 0 L V f 0 Y b Q t d C 9 0 Y s v 0 J 3 Q t d G B 0 L L Q t d G A 0 L 3 R g 9 G C 0 Y v Q t S D R g d G C 0 L 7 Q u 9 C x 0 Y b R i y 5 7 0 J r Q v t C 8 0 L / Q u 9 C 1 0 L r R g t G D 0 Y 7 R i d C w 0 Y 8 s O X 0 m c X V v d D s s J n F 1 b 3 Q 7 U 2 V j d G l v b j E v 0 K D Q t d C 3 0 Y P Q u 9 G M 0 Y L Q s N G C X 9 C h 0 Y T Q v t G A 0 L z Q u N G A 0 L 7 Q s t C w 0 L 3 Q v d G L 0 L V f 0 Y b Q t d C 9 0 Y s v 0 J 3 Q t d G B 0 L L Q t d G A 0 L 3 R g 9 G C 0 Y v Q t S D R g d G C 0 L 7 Q u 9 C x 0 Y b R i y 5 7 0 J r Q v t G N 0 Y T R h N C 4 0 Y b Q u N C 1 0 L 3 R g t C e 0 L / R g t C w L D E w f S Z x d W 9 0 O y w m c X V v d D t T Z W N 0 a W 9 u M S / Q o N C 1 0 L f R g 9 C 7 0 Y z R g t C w 0 Y J f 0 K H R h N C + 0 Y D Q v N C 4 0 Y D Q v t C y 0 L D Q v d C 9 0 Y v Q t V / R h t C 1 0 L 3 R i y / Q n d C 1 0 Y H Q s t C 1 0 Y D Q v d G D 0 Y L R i 9 C 1 I N G B 0 Y L Q v t C 7 0 L H R h t G L L n v Q k N G C 0 Y D Q u N C x 0 Y P R g i w x M 3 0 m c X V v d D s s J n F 1 b 3 Q 7 U 2 V j d G l v b j E v 0 K D Q t d C 3 0 Y P Q u 9 G M 0 Y L Q s N G C X 9 C h 0 Y T Q v t G A 0 L z Q u N G A 0 L 7 Q s t C w 0 L 3 Q v d G L 0 L V f 0 Y b Q t d C 9 0 Y s v 0 J 3 Q t d G B 0 L L Q t d G A 0 L 3 R g 9 G C 0 Y v Q t S D R g d G C 0 L 7 Q u 9 C x 0 Y b R i y 5 7 0 J f Q v d C w 0 Y f Q t d C 9 0 L j Q t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N y V E M S U 4 M y V E M C V C Q i V E M S U 4 Q y V E M S U 4 M i V E M C V C M C V E M S U 4 M l 8 l R D A l Q T E l R D E l O D Q l R D A l Q k U l R D E l O D A l R D A l Q k M l R D A l Q j g l R D E l O D A l R D A l Q k U l R D A l Q j I l R D A l Q j A l R D A l Q k Q l R D A l Q k Q l R D E l O E I l R D A l Q j V f J U Q x J T g 2 J U Q w J U I 1 J U Q w J U J E J U Q x J T h C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N y V E M S U 4 M y V E M C V C Q i V E M S U 4 Q y V E M S U 4 M i V E M C V C M C V E M S U 4 M l 8 l R D A l Q T E l R D E l O D Q l R D A l Q k U l R D E l O D A l R D A l Q k M l R D A l Q j g l R D E l O D A l R D A l Q k U l R D A l Q j I l R D A l Q j A l R D A l Q k Q l R D A l Q k Q l R D E l O E I l R D A l Q j V f J U Q x J T g 2 J U Q w J U I 1 J U Q w J U J E J U Q x J T h C L 0 F j Y 2 V z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N y V E M S U 4 M y V E M C V C Q i V E M S U 4 Q y V E M S U 4 M i V E M C V C M C V E M S U 4 M l 8 l R D A l Q T E l R D E l O D Q l R D A l Q k U l R D E l O D A l R D A l Q k M l R D A l Q j g l R D E l O D A l R D A l Q k U l R D A l Q j I l R D A l Q j A l R D A l Q k Q l R D A l Q k Q l R D E l O E I l R D A l Q j V f J U Q x J T g 2 J U Q w J U I 1 J U Q w J U J E J U Q x J T h C L 2 R i b 1 8 l R D A l Q T A l R D A l Q j U l R D A l Q j c l R D E l O D M l R D A l Q k I l R D E l O E M l R D E l O D I l R D A l Q j A l R D E l O D J f J U Q w J U E x J U Q x J T g 0 J U Q w J U J F J U Q x J T g w J U Q w J U J D J U Q w J U I 4 J U Q x J T g w J U Q w J U J F J U Q w J U I y J U Q w J U I w J U Q w J U J E J U Q w J U J E J U Q x J T h C J U Q w J U I 1 X y V E M S U 4 N i V E M C V C N S V E M C V C R C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N y V E M S U 4 M y V E M C V C Q i V E M S U 4 Q y V E M S U 4 M i V E M C V C M C V E M S U 4 M l 8 l R D A l Q T E l R D E l O D Q l R D A l Q k U l R D E l O D A l R D A l Q k M l R D A l Q j g l R D E l O D A l R D A l Q k U l R D A l Q j I l R D A l Q j A l R D A l Q k Q l R D A l Q k Q l R D E l O E I l R D A l Q j V f J U Q x J T g 2 J U Q w J U I 1 J U Q w J U J E J U Q x J T h C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N y V E M S U 4 M y V E M C V C Q i V E M S U 4 Q y V E M S U 4 M i V E M C V C M C V E M S U 4 M l 8 l R D A l Q T E l R D E l O D Q l R D A l Q k U l R D E l O D A l R D A l Q k M l R D A l Q j g l R D E l O D A l R D A l Q k U l R D A l Q j I l R D A l Q j A l R D A l Q k Q l R D A l Q k Q l R D E l O E I l R D A l Q j V f J U Q x J T g 2 J U Q w J U I 1 J U Q w J U J E J U Q x J T h C L y V E M C U 5 R C V E M C V C N S V E M S U 4 M S V E M C V C M i V E M C V C N S V E M S U 4 M C V E M C V C R C V E M S U 4 M y V E M S U 4 M i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N y V E M S U 4 M y V E M C V C Q i V E M S U 4 Q y V E M S U 4 M i V E M C V C M C V E M S U 4 M l 8 l R D A l Q T E l R D E l O D Q l R D A l Q k U l R D E l O D A l R D A l Q k M l R D A l Q j g l R D E l O D A l R D A l Q k U l R D A l Q j I l R D A l Q j A l R D A l Q k Q l R D A l Q k Q l R D E l O E I l R D A l Q j V f J U Q x J T g 2 J U Q w J U I 1 J U Q w J U J E J U Q x J T h C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N y V E M S U 4 M y V E M C V C Q i V E M S U 4 Q y V E M S U 4 M i V E M C V C M C V E M S U 4 M l 8 l R D A l Q T E l R D E l O D Q l R D A l Q k U l R D E l O D A l R D A l Q k M l R D A l Q j g l R D E l O D A l R D A l Q k U l R D A l Q j I l R D A l Q j A l R D A l Q k Q l R D A l Q k Q l R D E l O E I l R D A l Q j V f J U Q x J T g 2 J U Q w J U I 1 J U Q w J U J E J U Q x J T h C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g l R D A l Q k E l R D A l Q j A l R D E l O D Q l R D E l O E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C 4 0 L P Q s N G G 0 L j R j y I g L z 4 8 R W 5 0 c n k g V H l w Z T 0 i R m l s b G V k Q 2 9 t c G x l d G V S Z X N 1 b H R U b 1 d v c m t z a G V l d C I g V m F s d W U 9 I m w w I i A v P j x F b n R y e S B U e X B l P S J S Z W N v d m V y e V R h c m d l d F J v d y I g V m F s d W U 9 I m w y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G l 2 b 3 R P Y m p l Y 3 R O Y W 1 l I i B W Y W x 1 Z T 0 i c 9 C b 0 L 7 Q u t C 1 0 Y A x I d C h 0 L L Q v t C 0 0 L 3 Q s N G P I N G C 0 L D Q s d C 7 0 L j R h t C w N C I g L z 4 8 R W 5 0 c n k g V H l w Z T 0 i U X V l c n l J R C I g V m F s d W U 9 I n M 3 O T B k N D Q 4 Z i 0 z Z W J m L T Q 4 Z j g t O T M 4 Z S 0 y M T R l Z W U w O T c w N j Y i I C 8 + P E V u d H J 5 I F R 5 c G U 9 I k Z p b G x U b 0 R h d G F N b 2 R l b E V u Y W J s Z W Q i I F Z h b H V l P S J s M C I g L z 4 8 R W 5 0 c n k g V H l w Z T 0 i R m l s b E 9 i a m V j d F R 5 c G U i I F Z h b H V l P S J z U G l 2 b 3 R U Y W J s Z S I g L z 4 8 R W 5 0 c n k g V H l w Z T 0 i R m l s b E x h c 3 R V c G R h d G V k I i B W Y W x 1 Z T 0 i Z D I w M j Q t M T A t M T R U M T Q 6 N T k 6 M j E u M T Y 5 M D U w O F o i I C 8 + P E V u d H J 5 I F R 5 c G U 9 I k Z p b G x F c n J v c k N v d W 5 0 I i B W Y W x 1 Z T 0 i b D A i I C 8 + P E V u d H J 5 I F R 5 c G U 9 I k Z p b G x D b 2 x 1 b W 5 U e X B l c y I g V m F s d W U 9 I n N C Z 1 l H Q m d J Q 0 J R W U d C Z 1 l B I i A v P j x F b n R y e S B U e X B l P S J G a W x s R X J y b 3 J D b 2 R l I i B W Y W x 1 Z T 0 i c 1 V u a 2 5 v d 2 4 i I C 8 + P E V u d H J 5 I F R 5 c G U 9 I k Z p b G x D b 2 x 1 b W 5 O Y W 1 l c y I g V m F s d W U 9 I n N b J n F 1 b 3 Q 7 Q 0 t V J n F 1 b 3 Q 7 L C Z x d W 9 0 O 9 C h 0 L X R g N C 4 0 Y 8 m c X V v d D s s J n F 1 b 3 Q 7 0 K L Q u N C / X 9 G I 0 L r Q s N G E 0 L A m c X V v d D s s J n F 1 b 3 Q 7 0 J L Q s N G A 0 L j Q s N C 9 0 Y I g 0 L j R g d C / 0 L 7 Q u 9 C 9 0 L X Q v d C 4 0 Y 8 g 0 Y j Q u t C w 0 Y T Q s C Z x d W 9 0 O y w m c X V v d D v Q q N C 4 0 Y D Q u N C 9 0 L A m c X V v d D s s J n F 1 b 3 Q 7 0 J L R i 9 G B 0 L 7 R g t C w J n F 1 b 3 Q 7 L C Z x d W 9 0 O 9 C T 0 L v R g 9 C x 0 L j Q v d C w J n F 1 b 3 Q 7 L C Z x d W 9 0 O 9 C d 0 L D Q u N C 8 0 L X Q v d C + 0 L L Q s N C 9 0 L j Q t S D R i N C 6 0 L D R h N C w I N C 9 0 L A g 0 Y H Q s N C 5 0 Y L Q t S Z x d W 9 0 O y w m c X V v d D v Q n 9 G A 0 L j Q t 9 C 9 0 L D Q u l / Q k t C Y X 9 C o 0 L r Q s N G E 0 L A m c X V v d D s s J n F 1 b 3 Q 7 0 J r Q v t C 8 0 L / Q s N C 9 0 L 7 Q s t C 6 0 L A g 0 L r Q v t G A 0 L / R g 9 G B 0 L A m c X V v d D s s J n F 1 b 3 Q 7 0 J D R g t G A 0 L j Q s d G D 0 Y I m c X V v d D s s J n F 1 b 3 Q 7 0 J f Q v d C w 0 Y f Q t d C 9 0 L j Q t S Z x d W 9 0 O 1 0 i I C 8 + P E V u d H J 5 I F R 5 c G U 9 I k Z p b G x D b 3 V u d C I g V m F s d W U 9 I m w y N D I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q N C 6 0 L D R h N G L I C g z K S / Q n d C 1 0 Y H Q s t C 1 0 Y D Q v d G D 0 Y L R i 9 C 1 I N G B 0 Y L Q v t C 7 0 L H R h t G L L n t D S 1 U s M H 0 m c X V v d D s s J n F 1 b 3 Q 7 U 2 V j d G l v b j E v 0 K j Q u t C w 0 Y T R i y A o M y k v 0 J 3 Q t d G B 0 L L Q t d G A 0 L 3 R g 9 G C 0 Y v Q t S D R g d G C 0 L 7 Q u 9 C x 0 Y b R i y 5 7 0 K H Q t d G A 0 L j R j y w x f S Z x d W 9 0 O y w m c X V v d D t T Z W N 0 a W 9 u M S / Q q N C 6 0 L D R h N G L I C g z K S / Q n d C 1 0 Y H Q s t C 1 0 Y D Q v d G D 0 Y L R i 9 C 1 I N G B 0 Y L Q v t C 7 0 L H R h t G L L n v Q o t C 4 0 L 9 f 0 Y j Q u t C w 0 Y T Q s C w y f S Z x d W 9 0 O y w m c X V v d D t T Z W N 0 a W 9 u M S / Q q N C 6 0 L D R h N G L I C g z K S / Q n d C 1 0 Y H Q s t C 1 0 Y D Q v d G D 0 Y L R i 9 C 1 I N G B 0 Y L Q v t C 7 0 L H R h t G L L n v Q k t C w 0 Y D Q u N C w 0 L 3 R g i D Q u N G B 0 L / Q v t C 7 0 L 3 Q t d C 9 0 L j R j y D R i N C 6 0 L D R h N C w L D N 9 J n F 1 b 3 Q 7 L C Z x d W 9 0 O 1 N l Y 3 R p b 2 4 x L 9 C o 0 L r Q s N G E 0 Y s g K D M p L 9 C d 0 L X R g d C y 0 L X R g N C 9 0 Y P R g t G L 0 L U g 0 Y H R g t C + 0 L v Q s d G G 0 Y s u e 9 C o 0 L j R g N C 4 0 L 3 Q s C w 0 f S Z x d W 9 0 O y w m c X V v d D t T Z W N 0 a W 9 u M S / Q q N C 6 0 L D R h N G L I C g z K S / Q n d C 1 0 Y H Q s t C 1 0 Y D Q v d G D 0 Y L R i 9 C 1 I N G B 0 Y L Q v t C 7 0 L H R h t G L L n v Q k t G L 0 Y H Q v t G C 0 L A s N X 0 m c X V v d D s s J n F 1 b 3 Q 7 U 2 V j d G l v b j E v 0 K j Q u t C w 0 Y T R i y A o M y k v 0 J 3 Q t d G B 0 L L Q t d G A 0 L 3 R g 9 G C 0 Y v Q t S D R g d G C 0 L 7 Q u 9 C x 0 Y b R i y 5 7 0 J P Q u 9 G D 0 L H Q u N C 9 0 L A s N n 0 m c X V v d D s s J n F 1 b 3 Q 7 U 2 V j d G l v b j E v 0 K j Q u t C w 0 Y T R i y A o M y k v 0 J 3 Q t d G B 0 L L Q t d G A 0 L 3 R g 9 G C 0 Y v Q t S D R g d G C 0 L 7 Q u 9 C x 0 Y b R i y 5 7 0 J 3 Q s N C 4 0 L z Q t d C 9 0 L 7 Q s t C w 0 L 3 Q u N C 1 I N G I 0 L r Q s N G E 0 L A g 0 L 3 Q s C D R g d C w 0 L n R g t C 1 L D d 9 J n F 1 b 3 Q 7 L C Z x d W 9 0 O 1 N l Y 3 R p b 2 4 x L 9 C o 0 L r Q s N G E 0 Y s g K D M p L 9 C d 0 L X R g d C y 0 L X R g N C 9 0 Y P R g t G L 0 L U g 0 Y H R g t C + 0 L v Q s d G G 0 Y s u e 9 C f 0 Y D Q u N C 3 0 L 3 Q s N C 6 X 9 C S 0 J h f 0 K j Q u t C w 0 Y T Q s C w 4 f S Z x d W 9 0 O y w m c X V v d D t T Z W N 0 a W 9 u M S / Q q N C 6 0 L D R h N G L I C g z K S / Q n d C 1 0 Y H Q s t C 1 0 Y D Q v d G D 0 Y L R i 9 C 1 I N G B 0 Y L Q v t C 7 0 L H R h t G L L n v Q m t C + 0 L z Q v 9 C w 0 L 3 Q v t C y 0 L r Q s C D Q u t C + 0 Y D Q v 9 G D 0 Y H Q s C w 5 f S Z x d W 9 0 O y w m c X V v d D t T Z W N 0 a W 9 u M S / Q q N C 6 0 L D R h N G L I C g z K S / Q n d C 1 0 Y H Q s t C 1 0 Y D Q v d G D 0 Y L R i 9 C 1 I N G B 0 Y L Q v t C 7 0 L H R h t G L L n v Q k N G C 0 Y D Q u N C x 0 Y P R g i w x M H 0 m c X V v d D s s J n F 1 b 3 Q 7 U 2 V j d G l v b j E v 0 K j Q u t C w 0 Y T R i y A o M y k v 0 J 3 Q t d G B 0 L L Q t d G A 0 L 3 R g 9 G C 0 Y v Q t S D R g d G C 0 L 7 Q u 9 C x 0 Y b R i y 5 7 0 J f Q v d C w 0 Y f Q t d C 9 0 L j Q t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9 C o 0 L r Q s N G E 0 Y s g K D M p L 9 C d 0 L X R g d C y 0 L X R g N C 9 0 Y P R g t G L 0 L U g 0 Y H R g t C + 0 L v Q s d G G 0 Y s u e 0 N L V S w w f S Z x d W 9 0 O y w m c X V v d D t T Z W N 0 a W 9 u M S / Q q N C 6 0 L D R h N G L I C g z K S / Q n d C 1 0 Y H Q s t C 1 0 Y D Q v d G D 0 Y L R i 9 C 1 I N G B 0 Y L Q v t C 7 0 L H R h t G L L n v Q o d C 1 0 Y D Q u N G P L D F 9 J n F 1 b 3 Q 7 L C Z x d W 9 0 O 1 N l Y 3 R p b 2 4 x L 9 C o 0 L r Q s N G E 0 Y s g K D M p L 9 C d 0 L X R g d C y 0 L X R g N C 9 0 Y P R g t G L 0 L U g 0 Y H R g t C + 0 L v Q s d G G 0 Y s u e 9 C i 0 L j Q v 1 / R i N C 6 0 L D R h N C w L D J 9 J n F 1 b 3 Q 7 L C Z x d W 9 0 O 1 N l Y 3 R p b 2 4 x L 9 C o 0 L r Q s N G E 0 Y s g K D M p L 9 C d 0 L X R g d C y 0 L X R g N C 9 0 Y P R g t G L 0 L U g 0 Y H R g t C + 0 L v Q s d G G 0 Y s u e 9 C S 0 L D R g N C 4 0 L D Q v d G C I N C 4 0 Y H Q v 9 C + 0 L v Q v d C 1 0 L 3 Q u N G P I N G I 0 L r Q s N G E 0 L A s M 3 0 m c X V v d D s s J n F 1 b 3 Q 7 U 2 V j d G l v b j E v 0 K j Q u t C w 0 Y T R i y A o M y k v 0 J 3 Q t d G B 0 L L Q t d G A 0 L 3 R g 9 G C 0 Y v Q t S D R g d G C 0 L 7 Q u 9 C x 0 Y b R i y 5 7 0 K j Q u N G A 0 L j Q v d C w L D R 9 J n F 1 b 3 Q 7 L C Z x d W 9 0 O 1 N l Y 3 R p b 2 4 x L 9 C o 0 L r Q s N G E 0 Y s g K D M p L 9 C d 0 L X R g d C y 0 L X R g N C 9 0 Y P R g t G L 0 L U g 0 Y H R g t C + 0 L v Q s d G G 0 Y s u e 9 C S 0 Y v R g d C + 0 Y L Q s C w 1 f S Z x d W 9 0 O y w m c X V v d D t T Z W N 0 a W 9 u M S / Q q N C 6 0 L D R h N G L I C g z K S / Q n d C 1 0 Y H Q s t C 1 0 Y D Q v d G D 0 Y L R i 9 C 1 I N G B 0 Y L Q v t C 7 0 L H R h t G L L n v Q k 9 C 7 0 Y P Q s d C 4 0 L 3 Q s C w 2 f S Z x d W 9 0 O y w m c X V v d D t T Z W N 0 a W 9 u M S / Q q N C 6 0 L D R h N G L I C g z K S / Q n d C 1 0 Y H Q s t C 1 0 Y D Q v d G D 0 Y L R i 9 C 1 I N G B 0 Y L Q v t C 7 0 L H R h t G L L n v Q n d C w 0 L j Q v N C 1 0 L 3 Q v t C y 0 L D Q v d C 4 0 L U g 0 Y j Q u t C w 0 Y T Q s C D Q v d C w I N G B 0 L D Q u d G C 0 L U s N 3 0 m c X V v d D s s J n F 1 b 3 Q 7 U 2 V j d G l v b j E v 0 K j Q u t C w 0 Y T R i y A o M y k v 0 J 3 Q t d G B 0 L L Q t d G A 0 L 3 R g 9 G C 0 Y v Q t S D R g d G C 0 L 7 Q u 9 C x 0 Y b R i y 5 7 0 J / R g N C 4 0 L f Q v d C w 0 L p f 0 J L Q m F / Q q N C 6 0 L D R h N C w L D h 9 J n F 1 b 3 Q 7 L C Z x d W 9 0 O 1 N l Y 3 R p b 2 4 x L 9 C o 0 L r Q s N G E 0 Y s g K D M p L 9 C d 0 L X R g d C y 0 L X R g N C 9 0 Y P R g t G L 0 L U g 0 Y H R g t C + 0 L v Q s d G G 0 Y s u e 9 C a 0 L 7 Q v N C / 0 L D Q v d C + 0 L L Q u t C w I N C 6 0 L 7 R g N C / 0 Y P R g d C w L D l 9 J n F 1 b 3 Q 7 L C Z x d W 9 0 O 1 N l Y 3 R p b 2 4 x L 9 C o 0 L r Q s N G E 0 Y s g K D M p L 9 C d 0 L X R g d C y 0 L X R g N C 9 0 Y P R g t G L 0 L U g 0 Y H R g t C + 0 L v Q s d G G 0 Y s u e 9 C Q 0 Y L R g N C 4 0 L H R g 9 G C L D E w f S Z x d W 9 0 O y w m c X V v d D t T Z W N 0 a W 9 u M S / Q q N C 6 0 L D R h N G L I C g z K S / Q n d C 1 0 Y H Q s t C 1 0 Y D Q v d G D 0 Y L R i 9 C 1 I N G B 0 Y L Q v t C 7 0 L H R h t G L L n v Q l 9 C 9 0 L D R h 9 C 1 0 L 3 Q u N C 1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4 J U Q w J U J B J U Q w J U I w J U Q x J T g 0 J U Q x J T h C J T I w K D M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O C V E M C V C Q S V E M C V C M C V E M S U 4 N C V E M S U 4 Q i U y M C g z K S 9 k Y m 9 f J U Q w J U E w J U Q w J U I 1 J U Q w J U I 3 J U Q x J T g z J U Q w J U J C J U Q x J T h D J U Q x J T g y J U Q w J U I w J U Q x J T g y X y V E M C V B M S V E M S U 4 M i V E M C V C R S V E M C V C O C V E M C V C Q y V E M C V C R S V E M S U 4 M S V E M S U 4 M i V E M S U 4 Q 1 8 l R D E l O D g l R D A l Q k E l R D A l Q j A l R D E l O D Q l R D A l Q k U l R D A l Q j J f Q 1 N L V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O C V E M C V C Q S V E M C V C M C V E M S U 4 N C V E M S U 4 Q i U y M C g z K S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g l R D A l Q k E l R D A l Q j A l R D E l O D Q l R D E l O E I l M j A o M y k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O C V E M C V C Q S V E M C V C M C V E M S U 4 N C V E M S U 4 Q i U y M C g z K S 8 l R D A l O U Q l R D A l Q j U l R D E l O D E l R D A l Q j I l R D A l Q j U l R D E l O D A l R D A l Q k Q l R D E l O D M l R D E l O D I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g l R D A l Q k E l R D A l Q j A l R D E l O D Q l R D E l O E I l M j A o M y k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Y 2 9 2 Z X J 5 V G F y Z 2 V 0 U m 9 3 I i B W Y W x 1 Z T 0 i b D I i I C 8 + P E V u d H J 5 I F R 5 c G U 9 I l J l Y 2 9 2 Z X J 5 V G F y Z 2 V 0 Q 2 9 s d W 1 u I i B W Y W x 1 Z T 0 i b D E y I i A v P j x F b n R y e S B U e X B l P S J S Z W N v d m V y e V R h c m d l d F N o Z W V 0 I i B W Y W x 1 Z T 0 i c 9 C b 0 L j R g d G C M S I g L z 4 8 R W 5 0 c n k g V H l w Z T 0 i U G l 2 b 3 R P Y m p l Y 3 R O Y W 1 l I i B W Y W x 1 Z T 0 i c 9 C b 0 L j R g d G C M S H Q o d C y 0 L 7 Q t N C 9 0 L D R j y D R g t C w 0 L H Q u 9 C 4 0 Y b Q s D U i I C 8 + P E V u d H J 5 I F R 5 c G U 9 I k Z p b G x U b 0 R h d G F N b 2 R l b E V u Y W J s Z W Q i I F Z h b H V l P S J s M C I g L z 4 8 R W 5 0 c n k g V H l w Z T 0 i U X V l c n l J R C I g V m F s d W U 9 I n M 4 Z T I 0 Y T l j Z S 1 i Y T k x L T Q 5 O D Q t Y j Z i O C 1 j Y j Y 5 O W M x Z T I 0 O W Q i I C 8 + P E V u d H J 5 I F R 5 c G U 9 I k Z p b G x P Y m p l Y 3 R U e X B l I i B W Y W x 1 Z T 0 i c 1 B p d m 9 0 V G F i b G U i I C 8 + P E V u d H J 5 I F R 5 c G U 9 I k Z p b G x M Y X N 0 V X B k Y X R l Z C I g V m F s d W U 9 I m Q y M D I 0 L T E w L T E 0 V D E 0 O j U 5 O j I x L j I w O D A 4 O D F a I i A v P j x F b n R y e S B U e X B l P S J G a W x s Q 2 9 s d W 1 u V H l w Z X M i I F Z h b H V l P S J z Q m d Z R 0 J n W U d C Z 0 E 9 I i A v P j x F b n R y e S B U e X B l P S J G a W x s R X J y b 3 J D b 3 V u d C I g V m F s d W U 9 I m w w I i A v P j x F b n R y e S B U e X B l P S J G a W x s Q 2 9 s d W 1 u T m F t Z X M i I F Z h b H V l P S J z W y Z x d W 9 0 O 9 C S 0 L D R g N C 4 0 L D Q v d G C X 9 C 4 0 Y H Q v 9 C + 0 L v Q v d C 1 0 L 3 Q u N G P J n F 1 b 3 Q 7 L C Z x d W 9 0 O 9 C h 0 L X R g N C 4 0 Y 8 m c X V v d D s s J n F 1 b 3 Q 7 0 K j Q u N G A 0 L j Q v d C w J n F 1 b 3 Q 7 L C Z x d W 9 0 O 9 C T 0 L v R g 9 C x 0 L j Q v d C w J n F 1 b 3 Q 7 L C Z x d W 9 0 O 9 C S 0 Y v R g d C + 0 Y L Q s C Z x d W 9 0 O y w m c X V v d D v Q m t C + 0 L z Q v 9 C 7 0 L X Q u t G C 0 Y P R j t G J 0 L D R j y Z x d W 9 0 O y w m c X V v d D v Q k N G C 0 Y D Q u N C x 0 Y P R g i Z x d W 9 0 O y w m c X V v d D v Q l 9 C 9 0 L D R h 9 C 1 0 L 3 Q u N C 1 J n F 1 b 3 Q 7 X S I g L z 4 8 R W 5 0 c n k g V H l w Z T 0 i R m l s b E V y c m 9 y Q 2 9 k Z S I g V m F s d W U 9 I n N V b m t u b 3 d u I i A v P j x F b n R y e S B U e X B l P S J G a W x s Q 2 9 1 b n Q i I F Z h b H V l P S J s M T E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f 0 Y D Q v t G H 0 L j Q t S D Q t N C + 0 L / Q v t C 7 0 L 3 Q t d C 9 0 L j R j y A o N C k v 0 J 3 Q t d G B 0 L L Q t d G A 0 L 3 R g 9 G C 0 Y v Q t S D R g d G C 0 L 7 Q u 9 C x 0 Y b R i y 5 7 0 J L Q s N G A 0 L j Q s N C 9 0 Y J f 0 L j R g d C / 0 L 7 Q u 9 C 9 0 L X Q v d C 4 0 Y 8 s M H 0 m c X V v d D s s J n F 1 b 3 Q 7 U 2 V j d G l v b j E v 0 J / R g N C + 0 Y f Q u N C 1 I N C 0 0 L 7 Q v 9 C + 0 L v Q v d C 1 0 L 3 Q u N G P I C g 0 K S / Q n d C 1 0 Y H Q s t C 1 0 Y D Q v d G D 0 Y L R i 9 C 1 I N G B 0 Y L Q v t C 7 0 L H R h t G L L n v Q o d C 1 0 Y D Q u N G P L D F 9 J n F 1 b 3 Q 7 L C Z x d W 9 0 O 1 N l Y 3 R p b 2 4 x L 9 C f 0 Y D Q v t G H 0 L j Q t S D Q t N C + 0 L / Q v t C 7 0 L 3 Q t d C 9 0 L j R j y A o N C k v 0 J 3 Q t d G B 0 L L Q t d G A 0 L 3 R g 9 G C 0 Y v Q t S D R g d G C 0 L 7 Q u 9 C x 0 Y b R i y 5 7 0 K j Q u N G A 0 L j Q v d C w L D J 9 J n F 1 b 3 Q 7 L C Z x d W 9 0 O 1 N l Y 3 R p b 2 4 x L 9 C f 0 Y D Q v t G H 0 L j Q t S D Q t N C + 0 L / Q v t C 7 0 L 3 Q t d C 9 0 L j R j y A o N C k v 0 J 3 Q t d G B 0 L L Q t d G A 0 L 3 R g 9 G C 0 Y v Q t S D R g d G C 0 L 7 Q u 9 C x 0 Y b R i y 5 7 0 J P Q u 9 G D 0 L H Q u N C 9 0 L A s M 3 0 m c X V v d D s s J n F 1 b 3 Q 7 U 2 V j d G l v b j E v 0 J / R g N C + 0 Y f Q u N C 1 I N C 0 0 L 7 Q v 9 C + 0 L v Q v d C 1 0 L 3 Q u N G P I C g 0 K S / Q n d C 1 0 Y H Q s t C 1 0 Y D Q v d G D 0 Y L R i 9 C 1 I N G B 0 Y L Q v t C 7 0 L H R h t G L L n v Q k t G L 0 Y H Q v t G C 0 L A s N H 0 m c X V v d D s s J n F 1 b 3 Q 7 U 2 V j d G l v b j E v 0 J / R g N C + 0 Y f Q u N C 1 I N C 0 0 L 7 Q v 9 C + 0 L v Q v d C 1 0 L 3 Q u N G P I C g 0 K S / Q n d C 1 0 Y H Q s t C 1 0 Y D Q v d G D 0 Y L R i 9 C 1 I N G B 0 Y L Q v t C 7 0 L H R h t G L L n v Q m t C + 0 L z Q v 9 C 7 0 L X Q u t G C 0 Y P R j t G J 0 L D R j y w 1 f S Z x d W 9 0 O y w m c X V v d D t T Z W N 0 a W 9 u M S / Q n 9 G A 0 L 7 R h 9 C 4 0 L U g 0 L T Q v t C / 0 L 7 Q u 9 C 9 0 L X Q v d C 4 0 Y 8 g K D Q p L 9 C d 0 L X R g d C y 0 L X R g N C 9 0 Y P R g t G L 0 L U g 0 Y H R g t C + 0 L v Q s d G G 0 Y s u e 9 C Q 0 Y L R g N C 4 0 L H R g 9 G C L D Z 9 J n F 1 b 3 Q 7 L C Z x d W 9 0 O 1 N l Y 3 R p b 2 4 x L 9 C f 0 Y D Q v t G H 0 L j Q t S D Q t N C + 0 L / Q v t C 7 0 L 3 Q t d C 9 0 L j R j y A o N C k v 0 J 3 Q t d G B 0 L L Q t d G A 0 L 3 R g 9 G C 0 Y v Q t S D R g d G C 0 L 7 Q u 9 C x 0 Y b R i y 5 7 0 J f Q v d C w 0 Y f Q t d C 9 0 L j Q t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/ Q n 9 G A 0 L 7 R h 9 C 4 0 L U g 0 L T Q v t C / 0 L 7 Q u 9 C 9 0 L X Q v d C 4 0 Y 8 g K D Q p L 9 C d 0 L X R g d C y 0 L X R g N C 9 0 Y P R g t G L 0 L U g 0 Y H R g t C + 0 L v Q s d G G 0 Y s u e 9 C S 0 L D R g N C 4 0 L D Q v d G C X 9 C 4 0 Y H Q v 9 C + 0 L v Q v d C 1 0 L 3 Q u N G P L D B 9 J n F 1 b 3 Q 7 L C Z x d W 9 0 O 1 N l Y 3 R p b 2 4 x L 9 C f 0 Y D Q v t G H 0 L j Q t S D Q t N C + 0 L / Q v t C 7 0 L 3 Q t d C 9 0 L j R j y A o N C k v 0 J 3 Q t d G B 0 L L Q t d G A 0 L 3 R g 9 G C 0 Y v Q t S D R g d G C 0 L 7 Q u 9 C x 0 Y b R i y 5 7 0 K H Q t d G A 0 L j R j y w x f S Z x d W 9 0 O y w m c X V v d D t T Z W N 0 a W 9 u M S / Q n 9 G A 0 L 7 R h 9 C 4 0 L U g 0 L T Q v t C / 0 L 7 Q u 9 C 9 0 L X Q v d C 4 0 Y 8 g K D Q p L 9 C d 0 L X R g d C y 0 L X R g N C 9 0 Y P R g t G L 0 L U g 0 Y H R g t C + 0 L v Q s d G G 0 Y s u e 9 C o 0 L j R g N C 4 0 L 3 Q s C w y f S Z x d W 9 0 O y w m c X V v d D t T Z W N 0 a W 9 u M S / Q n 9 G A 0 L 7 R h 9 C 4 0 L U g 0 L T Q v t C / 0 L 7 Q u 9 C 9 0 L X Q v d C 4 0 Y 8 g K D Q p L 9 C d 0 L X R g d C y 0 L X R g N C 9 0 Y P R g t G L 0 L U g 0 Y H R g t C + 0 L v Q s d G G 0 Y s u e 9 C T 0 L v R g 9 C x 0 L j Q v d C w L D N 9 J n F 1 b 3 Q 7 L C Z x d W 9 0 O 1 N l Y 3 R p b 2 4 x L 9 C f 0 Y D Q v t G H 0 L j Q t S D Q t N C + 0 L / Q v t C 7 0 L 3 Q t d C 9 0 L j R j y A o N C k v 0 J 3 Q t d G B 0 L L Q t d G A 0 L 3 R g 9 G C 0 Y v Q t S D R g d G C 0 L 7 Q u 9 C x 0 Y b R i y 5 7 0 J L R i 9 G B 0 L 7 R g t C w L D R 9 J n F 1 b 3 Q 7 L C Z x d W 9 0 O 1 N l Y 3 R p b 2 4 x L 9 C f 0 Y D Q v t G H 0 L j Q t S D Q t N C + 0 L / Q v t C 7 0 L 3 Q t d C 9 0 L j R j y A o N C k v 0 J 3 Q t d G B 0 L L Q t d G A 0 L 3 R g 9 G C 0 Y v Q t S D R g d G C 0 L 7 Q u 9 C x 0 Y b R i y 5 7 0 J r Q v t C 8 0 L / Q u 9 C 1 0 L r R g t G D 0 Y 7 R i d C w 0 Y 8 s N X 0 m c X V v d D s s J n F 1 b 3 Q 7 U 2 V j d G l v b j E v 0 J / R g N C + 0 Y f Q u N C 1 I N C 0 0 L 7 Q v 9 C + 0 L v Q v d C 1 0 L 3 Q u N G P I C g 0 K S / Q n d C 1 0 Y H Q s t C 1 0 Y D Q v d G D 0 Y L R i 9 C 1 I N G B 0 Y L Q v t C 7 0 L H R h t G L L n v Q k N G C 0 Y D Q u N C x 0 Y P R g i w 2 f S Z x d W 9 0 O y w m c X V v d D t T Z W N 0 a W 9 u M S / Q n 9 G A 0 L 7 R h 9 C 4 0 L U g 0 L T Q v t C / 0 L 7 Q u 9 C 9 0 L X Q v d C 4 0 Y 8 g K D Q p L 9 C d 0 L X R g d C y 0 L X R g N C 9 0 Y P R g t G L 0 L U g 0 Y H R g t C + 0 L v Q s d G G 0 Y s u e 9 C X 0 L 3 Q s N G H 0 L X Q v d C 4 0 L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0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l M j A o N C k v Z G J v X y V E M C V B M C V E M C V C N S V E M C V C N y V E M S U 4 M y V E M C V C Q i V E M S U 4 Q y V E M S U 4 M i V E M C V C M C V E M S U 4 M l 8 l R D A l Q T E l R D E l O D Q l R D A l Q k U l R D E l O D A l R D A l Q k M l R D A l Q j g l R D E l O D A l R D A l Q k U l R D A l Q j I l R D A l Q j A l R D A l Q k Q l R D A l Q k Q l R D E l O E I l R D A l Q j V f J U Q x J T g 2 J U Q w J U I 1 J U Q w J U J E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J T I w K D Q p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0 K S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l M j A o N C k v J U Q w J T l E J U Q w J U I 1 J U Q x J T g x J U Q w J U I y J U Q w J U I 1 J U Q x J T g w J U Q w J U J E J U Q x J T g z J U Q x J T g y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J T I w K D Q p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g l R D A l Q k E l R D A l Q j A l R D E l O D Q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l M j A o M y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3 J U Q x J T g z J U Q w J U J C J U Q x J T h D J U Q x J T g y J U Q w J U I w J U Q x J T g y X y V E M C V B M S V E M S U 4 N C V E M C V C R S V E M S U 4 M C V E M C V C Q y V E M C V C O C V E M S U 4 M C V E M C V C R S V E M C V C M i V E M C V C M C V E M C V C R C V E M C V C R C V E M S U 4 Q i V E M C V C N V 8 l R D E l O D Y l R D A l Q j U l R D A l Q k Q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4 J U Q w J U J B J U Q w J U I w J U Q x J T g 0 J U Q x J T h C J T I w K D M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0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g l R D A l Q k E l R D A l Q j A l R D E l O D Q l R D E l O E I l M j A o M i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J E J U Q w J U J F J U Q w J U I y J U Q x J T h C J U Q w J U I 1 J T I w J U Q w J U E z J U Q w J U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k Z p b G x l Z E N v b X B s Z X R l U m V z d W x 0 V G 9 X b 3 J r c 2 h l Z X Q i I F Z h b H V l P S J s M C I g L z 4 8 R W 5 0 c n k g V H l w Z T 0 i U m V j b 3 Z l c n l U Y X J n Z X R S b 3 c i I F Z h b H V l P S J s M y I g L z 4 8 R W 5 0 c n k g V H l w Z T 0 i U m V j b 3 Z l c n l U Y X J n Z X R D b 2 x 1 b W 4 i I F Z h b H V l P S J s M j A i I C 8 + P E V u d H J 5 I F R 5 c G U 9 I l J l Y 2 9 2 Z X J 5 V G F y Z 2 V 0 U 2 h l Z X Q i I F Z h b H V l P S J z 0 J v Q u N G B 0 Y I x I i A v P j x F b n R y e S B U e X B l P S J Q a X Z v d E 9 i a m V j d E 5 h b W U i I F Z h b H V l P S J z 0 J v Q u N G B 0 Y I x I d C h 0 L L Q v t C 0 0 L 3 Q s N G P I N G C 0 L D Q s d C 7 0 L j R h t C w N y I g L z 4 8 R W 5 0 c n k g V H l w Z T 0 i R m l s b F R v R G F 0 Y U 1 v Z G V s R W 5 h Y m x l Z C I g V m F s d W U 9 I m w w I i A v P j x F b n R y e S B U e X B l P S J R d W V y e U l E I i B W Y W x 1 Z T 0 i c z l i Z G Z i Z D I 2 L W N k Z G I t N G M 3 Y S 1 i O D Z m L T k 1 N G I 1 M G N j Z W Y 1 Z S I g L z 4 8 R W 5 0 c n k g V H l w Z T 0 i R m l s b E 9 i a m V j d F R 5 c G U i I F Z h b H V l P S J z U G l 2 b 3 R U Y W J s Z S I g L z 4 8 R W 5 0 c n k g V H l w Z T 0 i T G 9 h Z G V k V G 9 B b m F s e X N p c 1 N l c n Z p Y 2 V z I i B W Y W x 1 Z T 0 i b D A i I C 8 + P E V u d H J 5 I F R 5 c G U 9 I k Z p b G x M Y X N 0 V X B k Y X R l Z C I g V m F s d W U 9 I m Q y M D I 0 L T E w L T E 0 V D E 0 O j U 5 O j I x L j E 4 O D E x M T V a I i A v P j x F b n R y e S B U e X B l P S J G a W x s R X J y b 3 J D b 3 V u d C I g V m F s d W U 9 I m w w I i A v P j x F b n R y e S B U e X B l P S J G a W x s Q 2 9 s d W 1 u V H l w Z X M i I F Z h b H V l P S J z Q l F V R 0 J n W U d C Z 1 l H Q m d B Q S I g L z 4 8 R W 5 0 c n k g V H l w Z T 0 i R m l s b E V y c m 9 y Q 2 9 k Z S I g V m F s d W U 9 I n N V b m t u b 3 d u I i A v P j x F b n R y e S B U e X B l P S J G a W x s Q 2 9 s d W 1 u T m F t Z X M i I F Z h b H V l P S J z W y Z x d W 9 0 O 9 C a 0 L 7 Q t F / Q n d C + 0 L z Q t d C 9 0 L r Q u 9 C w 0 Y L R g 9 G A 0 Y s m c X V v d D s s J n F 1 b 3 Q 7 0 J r Q v t C 0 X 9 C S 0 J g m c X V v d D s s J n F 1 b 3 Q 7 0 J 3 Q v t C 8 0 L X Q v d C 6 0 L v Q s N G C 0 Y P R g N C w J n F 1 b 3 Q 7 L C Z x d W 9 0 O 9 C S 0 L D R g N C 4 0 L D Q v d G C X 9 C 4 0 Y H Q v 9 C + 0 L v Q v d C 1 0 L 3 Q u N G P J n F 1 b 3 Q 7 L C Z x d W 9 0 O 9 C h 0 L X R g N C 4 0 Y 8 m c X V v d D s s J n F 1 b 3 Q 7 0 K j Q u N G A 0 L j Q v d C w J n F 1 b 3 Q 7 L C Z x d W 9 0 O 9 C T 0 L v R g 9 C x 0 L j Q v d C w J n F 1 b 3 Q 7 L C Z x d W 9 0 O 9 C S 0 Y v R g d C + 0 Y L Q s C Z x d W 9 0 O y w m c X V v d D v Q m t C + 0 L z Q v 9 C 7 0 L X Q u t G C 0 Y P R j t G J 0 L D R j y Z x d W 9 0 O y w m c X V v d D v Q k N G C 0 Y D Q u N C x 0 Y P R g i Z x d W 9 0 O y w m c X V v d D v Q l 9 C 9 0 L D R h 9 C 1 0 L 3 Q u N C 1 J n F 1 b 3 Q 7 L C Z x d W 9 0 O 9 C f 0 Y D Q u N C 3 0 L 3 Q s N C 6 I N C y 0 Y H R g t C w 0 L L Q u t C 4 J n F 1 b 3 Q 7 X S I g L z 4 8 R W 5 0 c n k g V H l w Z T 0 i R m l s b E N v d W 5 0 I i B W Y W x 1 Z T 0 i b D I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v d C + 0 L L R i 9 C 1 I N C j 0 K I v 0 J 3 Q t d G B 0 L L Q t d G A 0 L 3 R g 9 G C 0 Y v Q t S D R g d G C 0 L 7 Q u 9 C x 0 Y b R i y 5 7 0 J r Q v t C 0 X 9 C d 0 L 7 Q v N C 1 0 L 3 Q u t C 7 0 L D R g t G D 0 Y D R i y w w f S Z x d W 9 0 O y w m c X V v d D t T Z W N 0 a W 9 u M S / Q v d C + 0 L L R i 9 C 1 I N C j 0 K I v 0 J 3 Q t d G B 0 L L Q t d G A 0 L 3 R g 9 G C 0 Y v Q t S D R g d G C 0 L 7 Q u 9 C x 0 Y b R i y 5 7 0 J r Q v t C 0 X 9 C S 0 J g s M X 0 m c X V v d D s s J n F 1 b 3 Q 7 U 2 V j d G l v b j E v 0 L 3 Q v t C y 0 Y v Q t S D Q o 9 C i L 9 C d 0 L X R g d C y 0 L X R g N C 9 0 Y P R g t G L 0 L U g 0 Y H R g t C + 0 L v Q s d G G 0 Y s u e 9 C d 0 L 7 Q v N C 1 0 L 3 Q u t C 7 0 L D R g t G D 0 Y D Q s C w y f S Z x d W 9 0 O y w m c X V v d D t T Z W N 0 a W 9 u M S / Q v d C + 0 L L R i 9 C 1 I N C j 0 K I v 0 J 3 Q t d G B 0 L L Q t d G A 0 L 3 R g 9 G C 0 Y v Q t S D R g d G C 0 L 7 Q u 9 C x 0 Y b R i y 5 7 0 J L Q s N G A 0 L j Q s N C 9 0 Y J f 0 L j R g d C / 0 L 7 Q u 9 C 9 0 L X Q v d C 4 0 Y 8 s M 3 0 m c X V v d D s s J n F 1 b 3 Q 7 U 2 V j d G l v b j E v 0 L 3 Q v t C y 0 Y v Q t S D Q o 9 C i L 9 C d 0 L X R g d C y 0 L X R g N C 9 0 Y P R g t G L 0 L U g 0 Y H R g t C + 0 L v Q s d G G 0 Y s u e 9 C h 0 L X R g N C 4 0 Y 8 s N H 0 m c X V v d D s s J n F 1 b 3 Q 7 U 2 V j d G l v b j E v 0 L 3 Q v t C y 0 Y v Q t S D Q o 9 C i L 9 C d 0 L X R g d C y 0 L X R g N C 9 0 Y P R g t G L 0 L U g 0 Y H R g t C + 0 L v Q s d G G 0 Y s u e 9 C o 0 L j R g N C 4 0 L 3 Q s C w 1 f S Z x d W 9 0 O y w m c X V v d D t T Z W N 0 a W 9 u M S / Q v d C + 0 L L R i 9 C 1 I N C j 0 K I v 0 J 3 Q t d G B 0 L L Q t d G A 0 L 3 R g 9 G C 0 Y v Q t S D R g d G C 0 L 7 Q u 9 C x 0 Y b R i y 5 7 0 J P Q u 9 G D 0 L H Q u N C 9 0 L A s N n 0 m c X V v d D s s J n F 1 b 3 Q 7 U 2 V j d G l v b j E v 0 L 3 Q v t C y 0 Y v Q t S D Q o 9 C i L 9 C d 0 L X R g d C y 0 L X R g N C 9 0 Y P R g t G L 0 L U g 0 Y H R g t C + 0 L v Q s d G G 0 Y s u e 9 C S 0 Y v R g d C + 0 Y L Q s C w 3 f S Z x d W 9 0 O y w m c X V v d D t T Z W N 0 a W 9 u M S / Q v d C + 0 L L R i 9 C 1 I N C j 0 K I v 0 J 3 Q t d G B 0 L L Q t d G A 0 L 3 R g 9 G C 0 Y v Q t S D R g d G C 0 L 7 Q u 9 C x 0 Y b R i y 5 7 0 J r Q v t C 8 0 L / Q u 9 C 1 0 L r R g t G D 0 Y 7 R i d C w 0 Y 8 s O H 0 m c X V v d D s s J n F 1 b 3 Q 7 U 2 V j d G l v b j E v 0 L 3 Q v t C y 0 Y v Q t S D Q o 9 C i L 9 C d 0 L X R g d C y 0 L X R g N C 9 0 Y P R g t G L 0 L U g 0 Y H R g t C + 0 L v Q s d G G 0 Y s u e 9 C Q 0 Y L R g N C 4 0 L H R g 9 G C L D l 9 J n F 1 b 3 Q 7 L C Z x d W 9 0 O 1 N l Y 3 R p b 2 4 x L 9 C 9 0 L 7 Q s t G L 0 L U g 0 K P Q o i / Q n d C 1 0 Y H Q s t C 1 0 Y D Q v d G D 0 Y L R i 9 C 1 I N G B 0 Y L Q v t C 7 0 L H R h t G L L n v Q l 9 C 9 0 L D R h 9 C 1 0 L 3 Q u N C 1 L D E w f S Z x d W 9 0 O y w m c X V v d D t T Z W N 0 a W 9 u M S / Q v d C + 0 L L R i 9 C 1 I N C j 0 K I v 0 K P R g d C 7 0 L 7 Q s t C 9 0 Y v Q u S D R g d G C 0 L 7 Q u 9 C x 0 L X R h i D Q t N C + 0 L H Q s N C y 0 L v Q t d C 9 L n v Q n 9 G A 0 L j Q t 9 C 9 0 L D Q u i D Q s t G B 0 Y L Q s N C y 0 L r Q u C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9 C 9 0 L 7 Q s t G L 0 L U g 0 K P Q o i / Q n d C 1 0 Y H Q s t C 1 0 Y D Q v d G D 0 Y L R i 9 C 1 I N G B 0 Y L Q v t C 7 0 L H R h t G L L n v Q m t C + 0 L R f 0 J 3 Q v t C 8 0 L X Q v d C 6 0 L v Q s N G C 0 Y P R g N G L L D B 9 J n F 1 b 3 Q 7 L C Z x d W 9 0 O 1 N l Y 3 R p b 2 4 x L 9 C 9 0 L 7 Q s t G L 0 L U g 0 K P Q o i / Q n d C 1 0 Y H Q s t C 1 0 Y D Q v d G D 0 Y L R i 9 C 1 I N G B 0 Y L Q v t C 7 0 L H R h t G L L n v Q m t C + 0 L R f 0 J L Q m C w x f S Z x d W 9 0 O y w m c X V v d D t T Z W N 0 a W 9 u M S / Q v d C + 0 L L R i 9 C 1 I N C j 0 K I v 0 J 3 Q t d G B 0 L L Q t d G A 0 L 3 R g 9 G C 0 Y v Q t S D R g d G C 0 L 7 Q u 9 C x 0 Y b R i y 5 7 0 J 3 Q v t C 8 0 L X Q v d C 6 0 L v Q s N G C 0 Y P R g N C w L D J 9 J n F 1 b 3 Q 7 L C Z x d W 9 0 O 1 N l Y 3 R p b 2 4 x L 9 C 9 0 L 7 Q s t G L 0 L U g 0 K P Q o i / Q n d C 1 0 Y H Q s t C 1 0 Y D Q v d G D 0 Y L R i 9 C 1 I N G B 0 Y L Q v t C 7 0 L H R h t G L L n v Q k t C w 0 Y D Q u N C w 0 L 3 R g l / Q u N G B 0 L / Q v t C 7 0 L 3 Q t d C 9 0 L j R j y w z f S Z x d W 9 0 O y w m c X V v d D t T Z W N 0 a W 9 u M S / Q v d C + 0 L L R i 9 C 1 I N C j 0 K I v 0 J 3 Q t d G B 0 L L Q t d G A 0 L 3 R g 9 G C 0 Y v Q t S D R g d G C 0 L 7 Q u 9 C x 0 Y b R i y 5 7 0 K H Q t d G A 0 L j R j y w 0 f S Z x d W 9 0 O y w m c X V v d D t T Z W N 0 a W 9 u M S / Q v d C + 0 L L R i 9 C 1 I N C j 0 K I v 0 J 3 Q t d G B 0 L L Q t d G A 0 L 3 R g 9 G C 0 Y v Q t S D R g d G C 0 L 7 Q u 9 C x 0 Y b R i y 5 7 0 K j Q u N G A 0 L j Q v d C w L D V 9 J n F 1 b 3 Q 7 L C Z x d W 9 0 O 1 N l Y 3 R p b 2 4 x L 9 C 9 0 L 7 Q s t G L 0 L U g 0 K P Q o i / Q n d C 1 0 Y H Q s t C 1 0 Y D Q v d G D 0 Y L R i 9 C 1 I N G B 0 Y L Q v t C 7 0 L H R h t G L L n v Q k 9 C 7 0 Y P Q s d C 4 0 L 3 Q s C w 2 f S Z x d W 9 0 O y w m c X V v d D t T Z W N 0 a W 9 u M S / Q v d C + 0 L L R i 9 C 1 I N C j 0 K I v 0 J 3 Q t d G B 0 L L Q t d G A 0 L 3 R g 9 G C 0 Y v Q t S D R g d G C 0 L 7 Q u 9 C x 0 Y b R i y 5 7 0 J L R i 9 G B 0 L 7 R g t C w L D d 9 J n F 1 b 3 Q 7 L C Z x d W 9 0 O 1 N l Y 3 R p b 2 4 x L 9 C 9 0 L 7 Q s t G L 0 L U g 0 K P Q o i / Q n d C 1 0 Y H Q s t C 1 0 Y D Q v d G D 0 Y L R i 9 C 1 I N G B 0 Y L Q v t C 7 0 L H R h t G L L n v Q m t C + 0 L z Q v 9 C 7 0 L X Q u t G C 0 Y P R j t G J 0 L D R j y w 4 f S Z x d W 9 0 O y w m c X V v d D t T Z W N 0 a W 9 u M S / Q v d C + 0 L L R i 9 C 1 I N C j 0 K I v 0 J 3 Q t d G B 0 L L Q t d G A 0 L 3 R g 9 G C 0 Y v Q t S D R g d G C 0 L 7 Q u 9 C x 0 Y b R i y 5 7 0 J D R g t G A 0 L j Q s d G D 0 Y I s O X 0 m c X V v d D s s J n F 1 b 3 Q 7 U 2 V j d G l v b j E v 0 L 3 Q v t C y 0 Y v Q t S D Q o 9 C i L 9 C d 0 L X R g d C y 0 L X R g N C 9 0 Y P R g t G L 0 L U g 0 Y H R g t C + 0 L v Q s d G G 0 Y s u e 9 C X 0 L 3 Q s N G H 0 L X Q v d C 4 0 L U s M T B 9 J n F 1 b 3 Q 7 L C Z x d W 9 0 O 1 N l Y 3 R p b 2 4 x L 9 C 9 0 L 7 Q s t G L 0 L U g 0 K P Q o i / Q o 9 G B 0 L v Q v t C y 0 L 3 R i 9 C 5 I N G B 0 Y L Q v t C 7 0 L H Q t d G G I N C 0 0 L 7 Q s d C w 0 L L Q u 9 C 1 0 L 0 u e 9 C f 0 Y D Q u N C 3 0 L 3 Q s N C 6 I N C y 0 Y H R g t C w 0 L L Q u t C 4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J E J U Q w J U J F J U Q w J U I y J U Q x J T h C J U Q w J U I 1 J T I w J U Q w J U E z J U Q w J U E y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R C V E M C V C R S V E M C V C M i V E M S U 4 Q i V E M C V C N S U y M C V E M C V B M y V E M C V B M i 9 k Y m 9 f J U Q w J U E w J U Q w J U I 1 J U Q w J U I 3 J U Q x J T g z J U Q w J U J C J U Q x J T h D J U Q x J T g y J U Q w J U I w J U Q x J T g y X y V E M C V B M S V E M S U 4 N C V E M C V C R S V E M S U 4 M C V E M C V C Q y V E M C V C O C V E M S U 4 M C V E M C V C R S V E M C V C M i V E M C V C M C V E M C V C R C V E M C V C R C V E M S U 4 Q i V E M C V C N V 8 l R D E l O D Y l R D A l Q j U l R D A l Q k Q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k Q l R D A l Q k U l R D A l Q j I l R D E l O E I l R D A l Q j U l M j A l R D A l Q T M l R D A l Q T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J E J U Q w J U J F J U Q w J U I y J U Q x J T h C J U Q w J U I 1 J T I w J U Q w J U E z J U Q w J U E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k Q l R D A l Q k U l R D A l Q j I l R D E l O E I l R D A l Q j U l M j A l R D A l Q T M l R D A l Q T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J E J U Q w J U J F J U Q w J U I y J U Q x J T h C J U Q w J U I 1 J T I w J U Q w J U E z J U Q w J U E y L y V E M C U 5 R C V E M C V C N S V E M S U 4 M S V E M C V C M i V E M C V C N S V E M S U 4 M C V E M C V C R C V E M S U 4 M y V E M S U 4 M i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R C V E M C V C R S V E M C V C M i V E M S U 4 Q i V E M C V C N S U y M C V E M C V B M y V E M C V B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J E J U Q w J U J F J U Q w J U I y J U Q x J T h C J U Q w J U I 1 J T I w J U Q w J U E z J U Q w J U E y L y V E M C V B M y V E M S U 4 M S V E M C V C Q i V E M C V C R S V E M C V C M i V E M C V C R C V E M S U 4 Q i V E M C V C O S U y M C V E M S U 4 M S V E M S U 4 M i V E M C V C R S V E M C V C Q i V E M C V C M S V E M C V C N S V E M S U 4 N i U y M C V E M C V C N C V E M C V C R S V E M C V C M S V E M C V C M C V E M C V C M i V E M C V C Q i V E M C V C N S V E M C V C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R C V E M C V C R S V E M C V C M i V E M S U 4 Q i V E M C V C N S U y M C V E M C V B M y V E M C V B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I l R D A l Q k U l R D A l Q k E l R D A l Q j U l R D E l O D A l M j A l R D A l Q j M l R D A l Q j A l R D E l O D A l R D A l Q j Q l R D A l Q j U l R D E l O D A l R D A l Q k U l R D A l Q j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Q a X Z v d E 9 i a m V j d E 5 h b W U i I F Z h b H V l P S J z 0 J v Q v t C 6 0 L X R g D E h 0 K H Q s t C + 0 L T Q v d C w 0 Y 8 g 0 Y L Q s N C x 0 L v Q u N G G 0 L A 2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0 J v Q v t C 6 0 L X R g D E i I C 8 + P E V u d H J 5 I F R 5 c G U 9 I l J l Y 2 9 2 Z X J 5 V G F y Z 2 V 0 Q 2 9 s d W 1 u I i B W Y W x 1 Z T 0 i b D M y I i A v P j x F b n R y e S B U e X B l P S J S Z W N v d m V y e V R h c m d l d F J v d y I g V m F s d W U 9 I m w 2 I i A v P j x F b n R y e S B U e X B l P S J R d W V y e U l E I i B W Y W x 1 Z T 0 i c 2 M w M 2 Y y Y m U 5 L W N l N T g t N G Z i M y 0 4 M D B j L W N i N m U w M D Q 4 M W I 5 M C I g L z 4 8 R W 5 0 c n k g V H l w Z T 0 i R m l s b E x h c 3 R V c G R h d G V k I i B W Y W x 1 Z T 0 i Z D I w M j Q t M T A t M T R U M T Q 6 N T k 6 M j E u M j Q y M T Q w N V o i I C 8 + P E V u d H J 5 I F R 5 c G U 9 I k Z p b G x F c n J v c k N v d W 5 0 I i B W Y W x 1 Z T 0 i b D A i I C 8 + P E V u d H J 5 I F R 5 c G U 9 I k Z p b G x D b 2 x 1 b W 5 U e X B l c y I g V m F s d W U 9 I n N B Z 1 V G Q m d Z R 0 J n W U d C Z 1 l H Q l F Z R i I g L z 4 8 R W 5 0 c n k g V H l w Z T 0 i R m l s b E V y c m 9 y Q 2 9 k Z S I g V m F s d W U 9 I n N V b m t u b 3 d u I i A v P j x F b n R y e S B U e X B l P S J G a W x s Q 2 9 s d W 1 u T m F t Z X M i I F Z h b H V l P S J z W y Z x d W 9 0 O 9 C a 0 L 7 Q t C Z x d W 9 0 O y w m c X V v d D v Q m t C + 0 L R f 0 J 3 Q v t C 8 0 L X Q v d C 6 0 L v Q s N G C 0 Y P R g N G L J n F 1 b 3 Q 7 L C Z x d W 9 0 O 9 C a 0 L 7 Q t F / Q k t C Y J n F 1 b 3 Q 7 L C Z x d W 9 0 O 9 C d 0 L 7 Q v N C 1 0 L 3 Q u t C 7 0 L D R g t G D 0 Y D Q s C Z x d W 9 0 O y w m c X V v d D v Q k t C w 0 Y D Q u N C w 0 L 3 R g l / Q u N G B 0 L / Q v t C 7 0 L 3 Q t d C 9 0 L j R j y Z x d W 9 0 O y w m c X V v d D v Q o d C 1 0 Y D Q u N G P J n F 1 b 3 Q 7 L C Z x d W 9 0 O 9 C o 0 L j R g N C 4 0 L 3 Q s C Z x d W 9 0 O y w m c X V v d D v Q k 9 C 7 0 Y P Q s d C 4 0 L 3 Q s C Z x d W 9 0 O y w m c X V v d D v Q k t G L 0 Y H Q v t G C 0 L A m c X V v d D s s J n F 1 b 3 Q 7 0 K b Q s t C 1 0 Y J f 0 L / R g N C + 0 Y T Q u N C 7 0 Y 8 m c X V v d D s s J n F 1 b 3 Q 7 0 J r Q v t C 8 0 L / Q u 9 C 1 0 L r R g t G D 0 Y 7 R i d C w 0 Y 8 m c X V v d D s s J n F 1 b 3 Q 7 0 J / R g N C 4 0 L f Q v d C w 0 L p f 0 J r Q v t C 9 0 Y H R g t G A 0 Y P Q u t G C 0 L j Q s t C w J n F 1 b 3 Q 7 L C Z x d W 9 0 O 9 C a 0 L 7 R j d G E 0 Y T Q u N G G 0 L j Q t d C 9 0 Y L Q n t C / 0 Y L Q s C Z x d W 9 0 O y w m c X V v d D v Q k N G C 0 Y D Q u N C x 0 Y P R g i Z x d W 9 0 O y w m c X V v d D v Q l 9 C 9 0 L D R h 9 C 1 0 L 3 Q u N C 1 J n F 1 b 3 Q 7 X S I g L z 4 8 R W 5 0 c n k g V H l w Z T 0 i R m l s b E N v d W 5 0 I i B W Y W x 1 Z T 0 i b D Q y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9 C + 0 L r Q t d G A I N C z 0 L D R g N C 0 0 L X R g N C + 0 L E v 0 J 3 Q t d G B 0 L L Q t d G A 0 L 3 R g 9 G C 0 Y v Q t S D R g d G C 0 L 7 Q u 9 C x 0 Y b R i y 5 7 0 J r Q v t C 0 L D B 9 J n F 1 b 3 Q 7 L C Z x d W 9 0 O 1 N l Y 3 R p b 2 4 x L 9 C b 0 L 7 Q u t C 1 0 Y A g 0 L P Q s N G A 0 L T Q t d G A 0 L 7 Q s S / Q n d C 1 0 Y H Q s t C 1 0 Y D Q v d G D 0 Y L R i 9 C 1 I N G B 0 Y L Q v t C 7 0 L H R h t G L L n v Q m t C + 0 L R f 0 J 3 Q v t C 8 0 L X Q v d C 6 0 L v Q s N G C 0 Y P R g N G L L D F 9 J n F 1 b 3 Q 7 L C Z x d W 9 0 O 1 N l Y 3 R p b 2 4 x L 9 C b 0 L 7 Q u t C 1 0 Y A g 0 L P Q s N G A 0 L T Q t d G A 0 L 7 Q s S / Q n d C 1 0 Y H Q s t C 1 0 Y D Q v d G D 0 Y L R i 9 C 1 I N G B 0 Y L Q v t C 7 0 L H R h t G L L n v Q m t C + 0 L R f 0 J L Q m C w y f S Z x d W 9 0 O y w m c X V v d D t T Z W N 0 a W 9 u M S / Q m 9 C + 0 L r Q t d G A I N C z 0 L D R g N C 0 0 L X R g N C + 0 L E v 0 J 3 Q t d G B 0 L L Q t d G A 0 L 3 R g 9 G C 0 Y v Q t S D R g d G C 0 L 7 Q u 9 C x 0 Y b R i y 5 7 0 J 3 Q v t C 8 0 L X Q v d C 6 0 L v Q s N G C 0 Y P R g N C w L D N 9 J n F 1 b 3 Q 7 L C Z x d W 9 0 O 1 N l Y 3 R p b 2 4 x L 9 C b 0 L 7 Q u t C 1 0 Y A g 0 L P Q s N G A 0 L T Q t d G A 0 L 7 Q s S / Q n d C 1 0 Y H Q s t C 1 0 Y D Q v d G D 0 Y L R i 9 C 1 I N G B 0 Y L Q v t C 7 0 L H R h t G L L n v Q k t C w 0 Y D Q u N C w 0 L 3 R g l / Q u N G B 0 L / Q v t C 7 0 L 3 Q t d C 9 0 L j R j y w 0 f S Z x d W 9 0 O y w m c X V v d D t T Z W N 0 a W 9 u M S / Q m 9 C + 0 L r Q t d G A I N C z 0 L D R g N C 0 0 L X R g N C + 0 L E v 0 J 3 Q t d G B 0 L L Q t d G A 0 L 3 R g 9 G C 0 Y v Q t S D R g d G C 0 L 7 Q u 9 C x 0 Y b R i y 5 7 0 K H Q t d G A 0 L j R j y w 1 f S Z x d W 9 0 O y w m c X V v d D t T Z W N 0 a W 9 u M S / Q m 9 C + 0 L r Q t d G A I N C z 0 L D R g N C 0 0 L X R g N C + 0 L E v 0 J 3 Q t d G B 0 L L Q t d G A 0 L 3 R g 9 G C 0 Y v Q t S D R g d G C 0 L 7 Q u 9 C x 0 Y b R i y 5 7 0 K j Q u N G A 0 L j Q v d C w L D Z 9 J n F 1 b 3 Q 7 L C Z x d W 9 0 O 1 N l Y 3 R p b 2 4 x L 9 C b 0 L 7 Q u t C 1 0 Y A g 0 L P Q s N G A 0 L T Q t d G A 0 L 7 Q s S / Q n d C 1 0 Y H Q s t C 1 0 Y D Q v d G D 0 Y L R i 9 C 1 I N G B 0 Y L Q v t C 7 0 L H R h t G L L n v Q k 9 C 7 0 Y P Q s d C 4 0 L 3 Q s C w 3 f S Z x d W 9 0 O y w m c X V v d D t T Z W N 0 a W 9 u M S / Q m 9 C + 0 L r Q t d G A I N C z 0 L D R g N C 0 0 L X R g N C + 0 L E v 0 J 3 Q t d G B 0 L L Q t d G A 0 L 3 R g 9 G C 0 Y v Q t S D R g d G C 0 L 7 Q u 9 C x 0 Y b R i y 5 7 0 J L R i 9 G B 0 L 7 R g t C w L D h 9 J n F 1 b 3 Q 7 L C Z x d W 9 0 O 1 N l Y 3 R p b 2 4 x L 9 C b 0 L 7 Q u t C 1 0 Y A g 0 L P Q s N G A 0 L T Q t d G A 0 L 7 Q s S / Q n d C 1 0 Y H Q s t C 1 0 Y D Q v d G D 0 Y L R i 9 C 1 I N G B 0 Y L Q v t C 7 0 L H R h t G L L n v Q p t C y 0 L X R g l / Q v 9 G A 0 L 7 R h N C 4 0 L v R j y w 5 f S Z x d W 9 0 O y w m c X V v d D t T Z W N 0 a W 9 u M S / Q m 9 C + 0 L r Q t d G A I N C z 0 L D R g N C 0 0 L X R g N C + 0 L E v 0 J 3 Q t d G B 0 L L Q t d G A 0 L 3 R g 9 G C 0 Y v Q t S D R g d G C 0 L 7 Q u 9 C x 0 Y b R i y 5 7 0 J r Q v t C 8 0 L / Q u 9 C 1 0 L r R g t G D 0 Y 7 R i d C w 0 Y 8 s M T B 9 J n F 1 b 3 Q 7 L C Z x d W 9 0 O 1 N l Y 3 R p b 2 4 x L 9 C b 0 L 7 Q u t C 1 0 Y A g 0 L P Q s N G A 0 L T Q t d G A 0 L 7 Q s S / Q n d C 1 0 Y H Q s t C 1 0 Y D Q v d G D 0 Y L R i 9 C 1 I N G B 0 Y L Q v t C 7 0 L H R h t G L L n v Q n 9 G A 0 L j Q t 9 C 9 0 L D Q u l / Q m t C + 0 L 3 R g d G C 0 Y D R g 9 C 6 0 Y L Q u N C y 0 L A s M T F 9 J n F 1 b 3 Q 7 L C Z x d W 9 0 O 1 N l Y 3 R p b 2 4 x L 9 C b 0 L 7 Q u t C 1 0 Y A g 0 L P Q s N G A 0 L T Q t d G A 0 L 7 Q s S / Q n d C 1 0 Y H Q s t C 1 0 Y D Q v d G D 0 Y L R i 9 C 1 I N G B 0 Y L Q v t C 7 0 L H R h t G L L n v Q m t C + 0 Y 3 R h N G E 0 L j R h t C 4 0 L X Q v d G C 0 J 7 Q v 9 G C 0 L A s M T J 9 J n F 1 b 3 Q 7 L C Z x d W 9 0 O 1 N l Y 3 R p b 2 4 x L 9 C b 0 L 7 Q u t C 1 0 Y A g 0 L P Q s N G A 0 L T Q t d G A 0 L 7 Q s S / Q n d C 1 0 Y H Q s t C 1 0 Y D Q v d G D 0 Y L R i 9 C 1 I N G B 0 Y L Q v t C 7 0 L H R h t G L L n v Q k N G C 0 Y D Q u N C x 0 Y P R g i w x M 3 0 m c X V v d D s s J n F 1 b 3 Q 7 U 2 V j d G l v b j E v 0 J v Q v t C 6 0 L X R g C D Q s 9 C w 0 Y D Q t N C 1 0 Y D Q v t C x L 9 C d 0 L X R g d C y 0 L X R g N C 9 0 Y P R g t G L 0 L U g 0 Y H R g t C + 0 L v Q s d G G 0 Y s u e 9 C X 0 L 3 Q s N G H 0 L X Q v d C 4 0 L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/ Q m 9 C + 0 L r Q t d G A I N C z 0 L D R g N C 0 0 L X R g N C + 0 L E v 0 J 3 Q t d G B 0 L L Q t d G A 0 L 3 R g 9 G C 0 Y v Q t S D R g d G C 0 L 7 Q u 9 C x 0 Y b R i y 5 7 0 J r Q v t C 0 L D B 9 J n F 1 b 3 Q 7 L C Z x d W 9 0 O 1 N l Y 3 R p b 2 4 x L 9 C b 0 L 7 Q u t C 1 0 Y A g 0 L P Q s N G A 0 L T Q t d G A 0 L 7 Q s S / Q n d C 1 0 Y H Q s t C 1 0 Y D Q v d G D 0 Y L R i 9 C 1 I N G B 0 Y L Q v t C 7 0 L H R h t G L L n v Q m t C + 0 L R f 0 J 3 Q v t C 8 0 L X Q v d C 6 0 L v Q s N G C 0 Y P R g N G L L D F 9 J n F 1 b 3 Q 7 L C Z x d W 9 0 O 1 N l Y 3 R p b 2 4 x L 9 C b 0 L 7 Q u t C 1 0 Y A g 0 L P Q s N G A 0 L T Q t d G A 0 L 7 Q s S / Q n d C 1 0 Y H Q s t C 1 0 Y D Q v d G D 0 Y L R i 9 C 1 I N G B 0 Y L Q v t C 7 0 L H R h t G L L n v Q m t C + 0 L R f 0 J L Q m C w y f S Z x d W 9 0 O y w m c X V v d D t T Z W N 0 a W 9 u M S / Q m 9 C + 0 L r Q t d G A I N C z 0 L D R g N C 0 0 L X R g N C + 0 L E v 0 J 3 Q t d G B 0 L L Q t d G A 0 L 3 R g 9 G C 0 Y v Q t S D R g d G C 0 L 7 Q u 9 C x 0 Y b R i y 5 7 0 J 3 Q v t C 8 0 L X Q v d C 6 0 L v Q s N G C 0 Y P R g N C w L D N 9 J n F 1 b 3 Q 7 L C Z x d W 9 0 O 1 N l Y 3 R p b 2 4 x L 9 C b 0 L 7 Q u t C 1 0 Y A g 0 L P Q s N G A 0 L T Q t d G A 0 L 7 Q s S / Q n d C 1 0 Y H Q s t C 1 0 Y D Q v d G D 0 Y L R i 9 C 1 I N G B 0 Y L Q v t C 7 0 L H R h t G L L n v Q k t C w 0 Y D Q u N C w 0 L 3 R g l / Q u N G B 0 L / Q v t C 7 0 L 3 Q t d C 9 0 L j R j y w 0 f S Z x d W 9 0 O y w m c X V v d D t T Z W N 0 a W 9 u M S / Q m 9 C + 0 L r Q t d G A I N C z 0 L D R g N C 0 0 L X R g N C + 0 L E v 0 J 3 Q t d G B 0 L L Q t d G A 0 L 3 R g 9 G C 0 Y v Q t S D R g d G C 0 L 7 Q u 9 C x 0 Y b R i y 5 7 0 K H Q t d G A 0 L j R j y w 1 f S Z x d W 9 0 O y w m c X V v d D t T Z W N 0 a W 9 u M S / Q m 9 C + 0 L r Q t d G A I N C z 0 L D R g N C 0 0 L X R g N C + 0 L E v 0 J 3 Q t d G B 0 L L Q t d G A 0 L 3 R g 9 G C 0 Y v Q t S D R g d G C 0 L 7 Q u 9 C x 0 Y b R i y 5 7 0 K j Q u N G A 0 L j Q v d C w L D Z 9 J n F 1 b 3 Q 7 L C Z x d W 9 0 O 1 N l Y 3 R p b 2 4 x L 9 C b 0 L 7 Q u t C 1 0 Y A g 0 L P Q s N G A 0 L T Q t d G A 0 L 7 Q s S / Q n d C 1 0 Y H Q s t C 1 0 Y D Q v d G D 0 Y L R i 9 C 1 I N G B 0 Y L Q v t C 7 0 L H R h t G L L n v Q k 9 C 7 0 Y P Q s d C 4 0 L 3 Q s C w 3 f S Z x d W 9 0 O y w m c X V v d D t T Z W N 0 a W 9 u M S / Q m 9 C + 0 L r Q t d G A I N C z 0 L D R g N C 0 0 L X R g N C + 0 L E v 0 J 3 Q t d G B 0 L L Q t d G A 0 L 3 R g 9 G C 0 Y v Q t S D R g d G C 0 L 7 Q u 9 C x 0 Y b R i y 5 7 0 J L R i 9 G B 0 L 7 R g t C w L D h 9 J n F 1 b 3 Q 7 L C Z x d W 9 0 O 1 N l Y 3 R p b 2 4 x L 9 C b 0 L 7 Q u t C 1 0 Y A g 0 L P Q s N G A 0 L T Q t d G A 0 L 7 Q s S / Q n d C 1 0 Y H Q s t C 1 0 Y D Q v d G D 0 Y L R i 9 C 1 I N G B 0 Y L Q v t C 7 0 L H R h t G L L n v Q p t C y 0 L X R g l / Q v 9 G A 0 L 7 R h N C 4 0 L v R j y w 5 f S Z x d W 9 0 O y w m c X V v d D t T Z W N 0 a W 9 u M S / Q m 9 C + 0 L r Q t d G A I N C z 0 L D R g N C 0 0 L X R g N C + 0 L E v 0 J 3 Q t d G B 0 L L Q t d G A 0 L 3 R g 9 G C 0 Y v Q t S D R g d G C 0 L 7 Q u 9 C x 0 Y b R i y 5 7 0 J r Q v t C 8 0 L / Q u 9 C 1 0 L r R g t G D 0 Y 7 R i d C w 0 Y 8 s M T B 9 J n F 1 b 3 Q 7 L C Z x d W 9 0 O 1 N l Y 3 R p b 2 4 x L 9 C b 0 L 7 Q u t C 1 0 Y A g 0 L P Q s N G A 0 L T Q t d G A 0 L 7 Q s S / Q n d C 1 0 Y H Q s t C 1 0 Y D Q v d G D 0 Y L R i 9 C 1 I N G B 0 Y L Q v t C 7 0 L H R h t G L L n v Q n 9 G A 0 L j Q t 9 C 9 0 L D Q u l / Q m t C + 0 L 3 R g d G C 0 Y D R g 9 C 6 0 Y L Q u N C y 0 L A s M T F 9 J n F 1 b 3 Q 7 L C Z x d W 9 0 O 1 N l Y 3 R p b 2 4 x L 9 C b 0 L 7 Q u t C 1 0 Y A g 0 L P Q s N G A 0 L T Q t d G A 0 L 7 Q s S / Q n d C 1 0 Y H Q s t C 1 0 Y D Q v d G D 0 Y L R i 9 C 1 I N G B 0 Y L Q v t C 7 0 L H R h t G L L n v Q m t C + 0 Y 3 R h N G E 0 L j R h t C 4 0 L X Q v d G C 0 J 7 Q v 9 G C 0 L A s M T J 9 J n F 1 b 3 Q 7 L C Z x d W 9 0 O 1 N l Y 3 R p b 2 4 x L 9 C b 0 L 7 Q u t C 1 0 Y A g 0 L P Q s N G A 0 L T Q t d G A 0 L 7 Q s S / Q n d C 1 0 Y H Q s t C 1 0 Y D Q v d G D 0 Y L R i 9 C 1 I N G B 0 Y L Q v t C 7 0 L H R h t G L L n v Q k N G C 0 Y D Q u N C x 0 Y P R g i w x M 3 0 m c X V v d D s s J n F 1 b 3 Q 7 U 2 V j d G l v b j E v 0 J v Q v t C 6 0 L X R g C D Q s 9 C w 0 Y D Q t N C 1 0 Y D Q v t C x L 9 C d 0 L X R g d C y 0 L X R g N C 9 0 Y P R g t G L 0 L U g 0 Y H R g t C + 0 L v Q s d G G 0 Y s u e 9 C X 0 L 3 Q s N G H 0 L X Q v d C 4 0 L U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I l R D A l Q k U l R D A l Q k E l R D A l Q j U l R D E l O D A l M j A l R D A l Q j M l R D A l Q j A l R D E l O D A l R D A l Q j Q l R D A l Q j U l R D E l O D A l R D A l Q k U l R D A l Q j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C J U Q w J U J F J U Q w J U J B J U Q w J U I 1 J U Q x J T g w J T I w J U Q w J U I z J U Q w J U I w J U Q x J T g w J U Q w J U I 0 J U Q w J U I 1 J U Q x J T g w J U Q w J U J F J U Q w J U I x L 0 F j Y 2 V z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I l R D A l Q k U l R D A l Q k E l R D A l Q j U l R D E l O D A l M j A l R D A l Q j M l R D A l Q j A l R D E l O D A l R D A l Q j Q l R D A l Q j U l R D E l O D A l R D A l Q k U l R D A l Q j E v Z G J v X y V E M C V B M C V E M C V C N S V E M C V C N y V E M S U 4 M y V E M C V C Q i V E M S U 4 Q y V E M S U 4 M i V E M C V C M C V E M S U 4 M l 8 l R D A l Q T E l R D E l O D Q l R D A l Q k U l R D E l O D A l R D A l Q k M l R D A l Q j g l R D E l O D A l R D A l Q k U l R D A l Q j I l R D A l Q j A l R D A l Q k Q l R D A l Q k Q l R D E l O E I l R D A l Q j V f J U Q x J T g 2 J U Q w J U I 1 J U Q w J U J E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C J U Q w J U J F J U Q w J U J B J U Q w J U I 1 J U Q x J T g w J T I w J U Q w J U I z J U Q w J U I w J U Q x J T g w J U Q w J U I 0 J U Q w J U I 1 J U Q x J T g w J U Q w J U J F J U Q w J U I x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i V E M C V C R S V E M C V C Q S V E M C V C N S V E M S U 4 M C U y M C V E M C V C M y V E M C V C M C V E M S U 4 M C V E M C V C N C V E M C V C N S V E M S U 4 M C V E M C V C R S V E M C V C M S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I l R D A l Q k U l R D A l Q k E l R D A l Q j U l R D E l O D A l M j A l R D A l Q j M l R D A l Q j A l R D E l O D A l R D A l Q j Q l R D A l Q j U l R D E l O D A l R D A l Q k U l R D A l Q j E v J U Q w J T l E J U Q w J U I 1 J U Q x J T g x J U Q w J U I y J U Q w J U I 1 J U Q x J T g w J U Q w J U J E J U Q x J T g z J U Q x J T g y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C J U Q w J U J F J U Q w J U J B J U Q w J U I 1 J U Q x J T g w J T I w J U Q w J U I z J U Q w J U I w J U Q x J T g w J U Q w J U I 0 J U Q w J U I 1 J U Q x J T g w J U Q w J U J F J U Q w J U I x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O C I g L z 4 8 R W 5 0 c n k g V H l w Z T 0 i U m V j b 3 Z l c n l U Y X J n Z X R D b 2 x 1 b W 4 i I F Z h b H V l P S J s M j A i I C 8 + P E V u d H J 5 I F R 5 c G U 9 I l J l Y 2 9 2 Z X J 5 V G F y Z 2 V 0 U 2 h l Z X Q i I F Z h b H V l P S J z 0 J v Q u N G B 0 Y I x I i A v P j x F b n R y e S B U e X B l P S J Q a X Z v d E 9 i a m V j d E 5 h b W U i I F Z h b H V l P S J z 0 J v Q u N G B 0 Y I x I d C h 0 L L Q v t C 0 0 L 3 Q s N G P I N G C 0 L D Q s d C 7 0 L j R h t C w M T c i I C 8 + P E V u d H J 5 I F R 5 c G U 9 I k Z p b G x U b 0 R h d G F N b 2 R l b E V u Y W J s Z W Q i I F Z h b H V l P S J s M C I g L z 4 8 R W 5 0 c n k g V H l w Z T 0 i R m l s b E 9 i a m V j d F R 5 c G U i I F Z h b H V l P S J z U G l 2 b 3 R U Y W J s Z S I g L z 4 8 R W 5 0 c n k g V H l w Z T 0 i R m l s b E x h c 3 R V c G R h d G V k I i B W Y W x 1 Z T 0 i Z D I w M j Q t M T A t M T R U M T Q 6 N T k 6 M j I u M z A 0 N j M 3 M l o i I C 8 + P E V u d H J 5 I F R 5 c G U 9 I k x v Y W R l Z F R v Q W 5 h b H l z a X N T Z X J 2 a W N l c y I g V m F s d W U 9 I m w w I i A v P j x F b n R y e S B U e X B l P S J R d W V y e U l E I i B W Y W x 1 Z T 0 i c z k y N j U y N W Y 3 L W E 0 Z j Q t N D I x Z C 1 h O W I 2 L W E 3 N T c w Y j U 1 M D Y y N y I g L z 4 8 R W 5 0 c n k g V H l w Z T 0 i R m l s b E V y c m 9 y Q 2 9 1 b n Q i I F Z h b H V l P S J s M C I g L z 4 8 R W 5 0 c n k g V H l w Z T 0 i R m l s b E N v b H V t b l R 5 c G V z I i B W Y W x 1 Z T 0 i c 0 F n V U Z C Z 1 l H Q m d Z R 0 J n W U d C U U l H Q l E 9 P S I g L z 4 8 R W 5 0 c n k g V H l w Z T 0 i R m l s b E V y c m 9 y Q 2 9 k Z S I g V m F s d W U 9 I n N V b m t u b 3 d u I i A v P j x F b n R y e S B U e X B l P S J G a W x s Q 2 9 s d W 1 u T m F t Z X M i I F Z h b H V l P S J z W y Z x d W 9 0 O 9 C a 0 L 7 Q t C Z x d W 9 0 O y w m c X V v d D v Q m t C + 0 L R f 0 J 3 Q v t C 8 0 L X Q v d C 6 0 L v Q s N G C 0 Y P R g N G L J n F 1 b 3 Q 7 L C Z x d W 9 0 O 9 C a 0 L 7 Q t F / Q k t C Y J n F 1 b 3 Q 7 L C Z x d W 9 0 O 9 C d 0 L 7 Q v N C 1 0 L 3 Q u t C 7 0 L D R g t G D 0 Y D Q s C Z x d W 9 0 O y w m c X V v d D v Q k t C w 0 Y D Q u N C w 0 L 3 R g l / Q u N G B 0 L / Q v t C 7 0 L 3 Q t d C 9 0 L j R j y Z x d W 9 0 O y w m c X V v d D v Q o d C 1 0 Y D Q u N G P J n F 1 b 3 Q 7 L C Z x d W 9 0 O 9 C o 0 L j R g N C 4 0 L 3 Q s C Z x d W 9 0 O y w m c X V v d D v Q k 9 C 7 0 Y P Q s d C 4 0 L 3 Q s C Z x d W 9 0 O y w m c X V v d D v Q k t G L 0 Y H Q v t G C 0 L A m c X V v d D s s J n F 1 b 3 Q 7 0 K b Q s t C 1 0 Y J f 0 L / R g N C + 0 Y T Q u N C 7 0 Y 8 m c X V v d D s s J n F 1 b 3 Q 7 0 J r Q v t C 8 0 L / Q u 9 C 1 0 L r R g t G D 0 Y 7 R i d C w 0 Y 8 m c X V v d D s s J n F 1 b 3 Q 7 0 J / R g N C 4 0 L f Q v d C w 0 L p f 0 J r Q v t C 9 0 Y H R g t G A 0 Y P Q u t G C 0 L j Q s t C w J n F 1 b 3 Q 7 L C Z x d W 9 0 O 9 C a 0 L 7 R j d G E 0 Y T Q u N G G 0 L j Q t d C 9 0 Y L Q n t C / 0 Y L Q s C Z x d W 9 0 O y w m c X V v d D v Q n 9 C + 0 L v R j N C 3 0 L 7 Q s t C w 0 Y L Q t d C 7 0 Y z R g d C 6 0 L j Q u S Z x d W 9 0 O y w m c X V v d D v Q k N G C 0 Y D Q u N C x 0 Y P R g i Z x d W 9 0 O y w m c X V v d D v Q l 9 C 9 0 L D R h 9 C 1 0 L 3 Q u N C 1 J n F 1 b 3 Q 7 X S I g L z 4 8 R W 5 0 c n k g V H l w Z T 0 i R m l s b E N v d W 5 0 I i B W Y W x 1 Z T 0 i b D E 2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G A 0 L 7 R h 9 C 4 0 L U g 0 L T Q v t C / 0 L 7 Q u 9 C 9 0 L X Q v d C 4 0 Y 8 g K D U p L 9 C d 0 L X R g d C y 0 L X R g N C 9 0 Y P R g t G L 0 L U g 0 Y H R g t C + 0 L v Q s d G G 0 Y s u e 9 C a 0 L 7 Q t C w w f S Z x d W 9 0 O y w m c X V v d D t T Z W N 0 a W 9 u M S / Q n 9 G A 0 L 7 R h 9 C 4 0 L U g 0 L T Q v t C / 0 L 7 Q u 9 C 9 0 L X Q v d C 4 0 Y 8 g K D U p L 9 C d 0 L X R g d C y 0 L X R g N C 9 0 Y P R g t G L 0 L U g 0 Y H R g t C + 0 L v Q s d G G 0 Y s u e 9 C a 0 L 7 Q t F / Q n d C + 0 L z Q t d C 9 0 L r Q u 9 C w 0 Y L R g 9 G A 0 Y s s M X 0 m c X V v d D s s J n F 1 b 3 Q 7 U 2 V j d G l v b j E v 0 J / R g N C + 0 Y f Q u N C 1 I N C 0 0 L 7 Q v 9 C + 0 L v Q v d C 1 0 L 3 Q u N G P I C g 1 K S / Q n d C 1 0 Y H Q s t C 1 0 Y D Q v d G D 0 Y L R i 9 C 1 I N G B 0 Y L Q v t C 7 0 L H R h t G L L n v Q m t C + 0 L R f 0 J L Q m C w y f S Z x d W 9 0 O y w m c X V v d D t T Z W N 0 a W 9 u M S / Q n 9 G A 0 L 7 R h 9 C 4 0 L U g 0 L T Q v t C / 0 L 7 Q u 9 C 9 0 L X Q v d C 4 0 Y 8 g K D U p L 9 C d 0 L X R g d C y 0 L X R g N C 9 0 Y P R g t G L 0 L U g 0 Y H R g t C + 0 L v Q s d G G 0 Y s u e 9 C d 0 L 7 Q v N C 1 0 L 3 Q u t C 7 0 L D R g t G D 0 Y D Q s C w z f S Z x d W 9 0 O y w m c X V v d D t T Z W N 0 a W 9 u M S / Q n 9 G A 0 L 7 R h 9 C 4 0 L U g 0 L T Q v t C / 0 L 7 Q u 9 C 9 0 L X Q v d C 4 0 Y 8 g K D U p L 9 C d 0 L X R g d C y 0 L X R g N C 9 0 Y P R g t G L 0 L U g 0 Y H R g t C + 0 L v Q s d G G 0 Y s u e 9 C S 0 L D R g N C 4 0 L D Q v d G C X 9 C 4 0 Y H Q v 9 C + 0 L v Q v d C 1 0 L 3 Q u N G P L D R 9 J n F 1 b 3 Q 7 L C Z x d W 9 0 O 1 N l Y 3 R p b 2 4 x L 9 C f 0 Y D Q v t G H 0 L j Q t S D Q t N C + 0 L / Q v t C 7 0 L 3 Q t d C 9 0 L j R j y A o N S k v 0 J 3 Q t d G B 0 L L Q t d G A 0 L 3 R g 9 G C 0 Y v Q t S D R g d G C 0 L 7 Q u 9 C x 0 Y b R i y 5 7 0 K H Q t d G A 0 L j R j y w 1 f S Z x d W 9 0 O y w m c X V v d D t T Z W N 0 a W 9 u M S / Q n 9 G A 0 L 7 R h 9 C 4 0 L U g 0 L T Q v t C / 0 L 7 Q u 9 C 9 0 L X Q v d C 4 0 Y 8 g K D U p L 9 C d 0 L X R g d C y 0 L X R g N C 9 0 Y P R g t G L 0 L U g 0 Y H R g t C + 0 L v Q s d G G 0 Y s u e 9 C o 0 L j R g N C 4 0 L 3 Q s C w 2 f S Z x d W 9 0 O y w m c X V v d D t T Z W N 0 a W 9 u M S / Q n 9 G A 0 L 7 R h 9 C 4 0 L U g 0 L T Q v t C / 0 L 7 Q u 9 C 9 0 L X Q v d C 4 0 Y 8 g K D U p L 9 C d 0 L X R g d C y 0 L X R g N C 9 0 Y P R g t G L 0 L U g 0 Y H R g t C + 0 L v Q s d G G 0 Y s u e 9 C T 0 L v R g 9 C x 0 L j Q v d C w L D d 9 J n F 1 b 3 Q 7 L C Z x d W 9 0 O 1 N l Y 3 R p b 2 4 x L 9 C f 0 Y D Q v t G H 0 L j Q t S D Q t N C + 0 L / Q v t C 7 0 L 3 Q t d C 9 0 L j R j y A o N S k v 0 J 3 Q t d G B 0 L L Q t d G A 0 L 3 R g 9 G C 0 Y v Q t S D R g d G C 0 L 7 Q u 9 C x 0 Y b R i y 5 7 0 J L R i 9 G B 0 L 7 R g t C w L D h 9 J n F 1 b 3 Q 7 L C Z x d W 9 0 O 1 N l Y 3 R p b 2 4 x L 9 C f 0 Y D Q v t G H 0 L j Q t S D Q t N C + 0 L / Q v t C 7 0 L 3 Q t d C 9 0 L j R j y A o N S k v 0 J 3 Q t d G B 0 L L Q t d G A 0 L 3 R g 9 G C 0 Y v Q t S D R g d G C 0 L 7 Q u 9 C x 0 Y b R i y 5 7 0 K b Q s t C 1 0 Y J f 0 L / R g N C + 0 Y T Q u N C 7 0 Y 8 s O X 0 m c X V v d D s s J n F 1 b 3 Q 7 U 2 V j d G l v b j E v 0 J / R g N C + 0 Y f Q u N C 1 I N C 0 0 L 7 Q v 9 C + 0 L v Q v d C 1 0 L 3 Q u N G P I C g 1 K S / Q n d C 1 0 Y H Q s t C 1 0 Y D Q v d G D 0 Y L R i 9 C 1 I N G B 0 Y L Q v t C 7 0 L H R h t G L L n v Q m t C + 0 L z Q v 9 C 7 0 L X Q u t G C 0 Y P R j t G J 0 L D R j y w x M H 0 m c X V v d D s s J n F 1 b 3 Q 7 U 2 V j d G l v b j E v 0 J / R g N C + 0 Y f Q u N C 1 I N C 0 0 L 7 Q v 9 C + 0 L v Q v d C 1 0 L 3 Q u N G P I C g 1 K S / Q n d C 1 0 Y H Q s t C 1 0 Y D Q v d G D 0 Y L R i 9 C 1 I N G B 0 Y L Q v t C 7 0 L H R h t G L L n v Q n 9 G A 0 L j Q t 9 C 9 0 L D Q u l / Q m t C + 0 L 3 R g d G C 0 Y D R g 9 C 6 0 Y L Q u N C y 0 L A s M T F 9 J n F 1 b 3 Q 7 L C Z x d W 9 0 O 1 N l Y 3 R p b 2 4 x L 9 C f 0 Y D Q v t G H 0 L j Q t S D Q t N C + 0 L / Q v t C 7 0 L 3 Q t d C 9 0 L j R j y A o N S k v 0 J 3 Q t d G B 0 L L Q t d G A 0 L 3 R g 9 G C 0 Y v Q t S D R g d G C 0 L 7 Q u 9 C x 0 Y b R i y 5 7 0 J r Q v t G N 0 Y T R h N C 4 0 Y b Q u N C 1 0 L 3 R g t C e 0 L / R g t C w L D E y f S Z x d W 9 0 O y w m c X V v d D t T Z W N 0 a W 9 u M S / Q n 9 G A 0 L 7 R h 9 C 4 0 L U g 0 L T Q v t C / 0 L 7 Q u 9 C 9 0 L X Q v d C 4 0 Y 8 g K D U p L 9 C d 0 L X R g d C y 0 L X R g N C 9 0 Y P R g t G L 0 L U g 0 Y H R g t C + 0 L v Q s d G G 0 Y s u e 9 C f 0 L 7 Q u 9 G M 0 L f Q v t C y 0 L D R g t C 1 0 L v R j N G B 0 L r Q u N C 5 L D E z f S Z x d W 9 0 O y w m c X V v d D t T Z W N 0 a W 9 u M S / Q n 9 G A 0 L 7 R h 9 C 4 0 L U g 0 L T Q v t C / 0 L 7 Q u 9 C 9 0 L X Q v d C 4 0 Y 8 g K D U p L 9 C d 0 L X R g d C y 0 L X R g N C 9 0 Y P R g t G L 0 L U g 0 Y H R g t C + 0 L v Q s d G G 0 Y s u e 9 C Q 0 Y L R g N C 4 0 L H R g 9 G C L D E 0 f S Z x d W 9 0 O y w m c X V v d D t T Z W N 0 a W 9 u M S / Q n 9 G A 0 L 7 R h 9 C 4 0 L U g 0 L T Q v t C / 0 L 7 Q u 9 C 9 0 L X Q v d C 4 0 Y 8 g K D U p L 9 C d 0 L X R g d C y 0 L X R g N C 9 0 Y P R g t G L 0 L U g 0 Y H R g t C + 0 L v Q s d G G 0 Y s u e 9 C X 0 L 3 Q s N G H 0 L X Q v d C 4 0 L U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/ Q n 9 G A 0 L 7 R h 9 C 4 0 L U g 0 L T Q v t C / 0 L 7 Q u 9 C 9 0 L X Q v d C 4 0 Y 8 g K D U p L 9 C d 0 L X R g d C y 0 L X R g N C 9 0 Y P R g t G L 0 L U g 0 Y H R g t C + 0 L v Q s d G G 0 Y s u e 9 C a 0 L 7 Q t C w w f S Z x d W 9 0 O y w m c X V v d D t T Z W N 0 a W 9 u M S / Q n 9 G A 0 L 7 R h 9 C 4 0 L U g 0 L T Q v t C / 0 L 7 Q u 9 C 9 0 L X Q v d C 4 0 Y 8 g K D U p L 9 C d 0 L X R g d C y 0 L X R g N C 9 0 Y P R g t G L 0 L U g 0 Y H R g t C + 0 L v Q s d G G 0 Y s u e 9 C a 0 L 7 Q t F / Q n d C + 0 L z Q t d C 9 0 L r Q u 9 C w 0 Y L R g 9 G A 0 Y s s M X 0 m c X V v d D s s J n F 1 b 3 Q 7 U 2 V j d G l v b j E v 0 J / R g N C + 0 Y f Q u N C 1 I N C 0 0 L 7 Q v 9 C + 0 L v Q v d C 1 0 L 3 Q u N G P I C g 1 K S / Q n d C 1 0 Y H Q s t C 1 0 Y D Q v d G D 0 Y L R i 9 C 1 I N G B 0 Y L Q v t C 7 0 L H R h t G L L n v Q m t C + 0 L R f 0 J L Q m C w y f S Z x d W 9 0 O y w m c X V v d D t T Z W N 0 a W 9 u M S / Q n 9 G A 0 L 7 R h 9 C 4 0 L U g 0 L T Q v t C / 0 L 7 Q u 9 C 9 0 L X Q v d C 4 0 Y 8 g K D U p L 9 C d 0 L X R g d C y 0 L X R g N C 9 0 Y P R g t G L 0 L U g 0 Y H R g t C + 0 L v Q s d G G 0 Y s u e 9 C d 0 L 7 Q v N C 1 0 L 3 Q u t C 7 0 L D R g t G D 0 Y D Q s C w z f S Z x d W 9 0 O y w m c X V v d D t T Z W N 0 a W 9 u M S / Q n 9 G A 0 L 7 R h 9 C 4 0 L U g 0 L T Q v t C / 0 L 7 Q u 9 C 9 0 L X Q v d C 4 0 Y 8 g K D U p L 9 C d 0 L X R g d C y 0 L X R g N C 9 0 Y P R g t G L 0 L U g 0 Y H R g t C + 0 L v Q s d G G 0 Y s u e 9 C S 0 L D R g N C 4 0 L D Q v d G C X 9 C 4 0 Y H Q v 9 C + 0 L v Q v d C 1 0 L 3 Q u N G P L D R 9 J n F 1 b 3 Q 7 L C Z x d W 9 0 O 1 N l Y 3 R p b 2 4 x L 9 C f 0 Y D Q v t G H 0 L j Q t S D Q t N C + 0 L / Q v t C 7 0 L 3 Q t d C 9 0 L j R j y A o N S k v 0 J 3 Q t d G B 0 L L Q t d G A 0 L 3 R g 9 G C 0 Y v Q t S D R g d G C 0 L 7 Q u 9 C x 0 Y b R i y 5 7 0 K H Q t d G A 0 L j R j y w 1 f S Z x d W 9 0 O y w m c X V v d D t T Z W N 0 a W 9 u M S / Q n 9 G A 0 L 7 R h 9 C 4 0 L U g 0 L T Q v t C / 0 L 7 Q u 9 C 9 0 L X Q v d C 4 0 Y 8 g K D U p L 9 C d 0 L X R g d C y 0 L X R g N C 9 0 Y P R g t G L 0 L U g 0 Y H R g t C + 0 L v Q s d G G 0 Y s u e 9 C o 0 L j R g N C 4 0 L 3 Q s C w 2 f S Z x d W 9 0 O y w m c X V v d D t T Z W N 0 a W 9 u M S / Q n 9 G A 0 L 7 R h 9 C 4 0 L U g 0 L T Q v t C / 0 L 7 Q u 9 C 9 0 L X Q v d C 4 0 Y 8 g K D U p L 9 C d 0 L X R g d C y 0 L X R g N C 9 0 Y P R g t G L 0 L U g 0 Y H R g t C + 0 L v Q s d G G 0 Y s u e 9 C T 0 L v R g 9 C x 0 L j Q v d C w L D d 9 J n F 1 b 3 Q 7 L C Z x d W 9 0 O 1 N l Y 3 R p b 2 4 x L 9 C f 0 Y D Q v t G H 0 L j Q t S D Q t N C + 0 L / Q v t C 7 0 L 3 Q t d C 9 0 L j R j y A o N S k v 0 J 3 Q t d G B 0 L L Q t d G A 0 L 3 R g 9 G C 0 Y v Q t S D R g d G C 0 L 7 Q u 9 C x 0 Y b R i y 5 7 0 J L R i 9 G B 0 L 7 R g t C w L D h 9 J n F 1 b 3 Q 7 L C Z x d W 9 0 O 1 N l Y 3 R p b 2 4 x L 9 C f 0 Y D Q v t G H 0 L j Q t S D Q t N C + 0 L / Q v t C 7 0 L 3 Q t d C 9 0 L j R j y A o N S k v 0 J 3 Q t d G B 0 L L Q t d G A 0 L 3 R g 9 G C 0 Y v Q t S D R g d G C 0 L 7 Q u 9 C x 0 Y b R i y 5 7 0 K b Q s t C 1 0 Y J f 0 L / R g N C + 0 Y T Q u N C 7 0 Y 8 s O X 0 m c X V v d D s s J n F 1 b 3 Q 7 U 2 V j d G l v b j E v 0 J / R g N C + 0 Y f Q u N C 1 I N C 0 0 L 7 Q v 9 C + 0 L v Q v d C 1 0 L 3 Q u N G P I C g 1 K S / Q n d C 1 0 Y H Q s t C 1 0 Y D Q v d G D 0 Y L R i 9 C 1 I N G B 0 Y L Q v t C 7 0 L H R h t G L L n v Q m t C + 0 L z Q v 9 C 7 0 L X Q u t G C 0 Y P R j t G J 0 L D R j y w x M H 0 m c X V v d D s s J n F 1 b 3 Q 7 U 2 V j d G l v b j E v 0 J / R g N C + 0 Y f Q u N C 1 I N C 0 0 L 7 Q v 9 C + 0 L v Q v d C 1 0 L 3 Q u N G P I C g 1 K S / Q n d C 1 0 Y H Q s t C 1 0 Y D Q v d G D 0 Y L R i 9 C 1 I N G B 0 Y L Q v t C 7 0 L H R h t G L L n v Q n 9 G A 0 L j Q t 9 C 9 0 L D Q u l / Q m t C + 0 L 3 R g d G C 0 Y D R g 9 C 6 0 Y L Q u N C y 0 L A s M T F 9 J n F 1 b 3 Q 7 L C Z x d W 9 0 O 1 N l Y 3 R p b 2 4 x L 9 C f 0 Y D Q v t G H 0 L j Q t S D Q t N C + 0 L / Q v t C 7 0 L 3 Q t d C 9 0 L j R j y A o N S k v 0 J 3 Q t d G B 0 L L Q t d G A 0 L 3 R g 9 G C 0 Y v Q t S D R g d G C 0 L 7 Q u 9 C x 0 Y b R i y 5 7 0 J r Q v t G N 0 Y T R h N C 4 0 Y b Q u N C 1 0 L 3 R g t C e 0 L / R g t C w L D E y f S Z x d W 9 0 O y w m c X V v d D t T Z W N 0 a W 9 u M S / Q n 9 G A 0 L 7 R h 9 C 4 0 L U g 0 L T Q v t C / 0 L 7 Q u 9 C 9 0 L X Q v d C 4 0 Y 8 g K D U p L 9 C d 0 L X R g d C y 0 L X R g N C 9 0 Y P R g t G L 0 L U g 0 Y H R g t C + 0 L v Q s d G G 0 Y s u e 9 C f 0 L 7 Q u 9 G M 0 L f Q v t C y 0 L D R g t C 1 0 L v R j N G B 0 L r Q u N C 5 L D E z f S Z x d W 9 0 O y w m c X V v d D t T Z W N 0 a W 9 u M S / Q n 9 G A 0 L 7 R h 9 C 4 0 L U g 0 L T Q v t C / 0 L 7 Q u 9 C 9 0 L X Q v d C 4 0 Y 8 g K D U p L 9 C d 0 L X R g d C y 0 L X R g N C 9 0 Y P R g t G L 0 L U g 0 Y H R g t C + 0 L v Q s d G G 0 Y s u e 9 C Q 0 Y L R g N C 4 0 L H R g 9 G C L D E 0 f S Z x d W 9 0 O y w m c X V v d D t T Z W N 0 a W 9 u M S / Q n 9 G A 0 L 7 R h 9 C 4 0 L U g 0 L T Q v t C / 0 L 7 Q u 9 C 9 0 L X Q v d C 4 0 Y 8 g K D U p L 9 C d 0 L X R g d C y 0 L X R g N C 9 0 Y P R g t G L 0 L U g 0 Y H R g t C + 0 L v Q s d G G 0 Y s u e 9 C X 0 L 3 Q s N G H 0 L X Q v d C 4 0 L U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l M j A o N S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J T I w K D U p L 2 R i b 1 8 l R D A l Q T A l R D A l Q j U l R D A l Q j c l R D E l O D M l R D A l Q k I l R D E l O E M l R D E l O D I l R D A l Q j A l R D E l O D J f J U Q w J U E x J U Q x J T g 0 J U Q w J U J F J U Q x J T g w J U Q w J U J D J U Q w J U I 4 J U Q x J T g w J U Q w J U J F J U Q w J U I y J U Q w J U I w J U Q w J U J E J U Q w J U J E J U Q x J T h C J U Q w J U I 1 X y V E M S U 4 N i V E M C V C N S V E M C V C R C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1 K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l M j A o N S k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4 J U Q w J U J B J U Q w J U I w J U Q x J T g 0 J U Q x J T h C J T I w K D I p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c l R D A l Q j g l R D A l Q j U l M j A l R D A l Q j Q l R D A l Q k U l R D A l Q k Y l R D A l Q k U l R D A l Q k I l R D A l Q k Q l R D A l Q j U l R D A l Q k Q l R D A l Q j g l R D E l O E Y l M j A o N S k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3 J U Q w J U I 4 J U Q w J U I 1 J T I w J U Q w J U I 0 J U Q w J U J F J U Q w J U J G J U Q w J U J F J U Q w J U J C J U Q w J U J E J U Q w J U I 1 J U Q w J U J E J U Q w J U I 4 J U Q x J T h G J T I w K D U p L y V E M C U 5 R C V E M C V C N S V E M S U 4 M S V E M C V C M i V E M C V C N S V E M S U 4 M C V E M C V C R C V E M S U 4 M y V E M S U 4 M i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y V E M C V C O C V E M C V C N S U y M C V E M C V C N C V E M C V C R S V E M C V C R i V E M C V C R S V E M C V C Q i V E M C V C R C V E M C V C N S V E M C V C R C V E M C V C O C V E M S U 4 R i U y M C g 1 K S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b f X Q 6 g v B t E m u z l P a H v Z I c A A A A A A g A A A A A A E G Y A A A A B A A A g A A A A t r j O M c M 3 F A 9 j J v g M w z R b h 6 Z M k 3 e L J U b p G h 7 F g n t Q 1 Q 0 A A A A A D o A A A A A C A A A g A A A A 1 t o S Q I t O i r J n g K p a L 2 X 7 y R X 6 L k a U y + P b W C U 1 7 P J C j 8 l Q A A A A W u Q K I T e E z E I 0 3 2 k N t s 0 C 4 V E 2 d A M / z R x k l 2 a r h k Q 5 e 5 j w u 6 e C U s b T F 0 L w t k 2 U 1 H K a A Z w d D O 9 U X d B j 7 0 I Y Q F t J j q Z Q 0 P 8 I + f c f x 4 y J 0 y R M I a J A A A A A j e c W W 5 u d G I k f C r c L / 9 C H p V L r D r t X H 9 k n j x I b g b 2 l 2 M 6 h 1 E n H y Z m 6 o k L N b W k V W h 1 Z 1 K f C 0 d B C 9 j 0 D R F B e 9 t U F M Q = = < / D a t a M a s h u p > 
</file>

<file path=customXml/itemProps1.xml><?xml version="1.0" encoding="utf-8"?>
<ds:datastoreItem xmlns:ds="http://schemas.openxmlformats.org/officeDocument/2006/customXml" ds:itemID="{FF3F5D95-BD70-4D05-84A1-D18F0426A74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11</vt:i4>
      </vt:variant>
    </vt:vector>
  </HeadingPairs>
  <TitlesOfParts>
    <vt:vector size="26" baseType="lpstr">
      <vt:lpstr>Прайм</vt:lpstr>
      <vt:lpstr>Прайм (окутка)</vt:lpstr>
      <vt:lpstr>Прайм Широкий</vt:lpstr>
      <vt:lpstr>Прайм Широкий (окутка)</vt:lpstr>
      <vt:lpstr>Эста</vt:lpstr>
      <vt:lpstr>Эста Декор стекло</vt:lpstr>
      <vt:lpstr>Экспресс</vt:lpstr>
      <vt:lpstr>Экспресс 2</vt:lpstr>
      <vt:lpstr>Лист1</vt:lpstr>
      <vt:lpstr>Угловой Экспресс</vt:lpstr>
      <vt:lpstr>Ник</vt:lpstr>
      <vt:lpstr>Локер</vt:lpstr>
      <vt:lpstr>Локер Гардероб</vt:lpstr>
      <vt:lpstr>Элегант</vt:lpstr>
      <vt:lpstr>Локер1</vt:lpstr>
      <vt:lpstr>Локер!Область_печати</vt:lpstr>
      <vt:lpstr>'Локер Гардероб'!Область_печати</vt:lpstr>
      <vt:lpstr>Ник!Область_печати</vt:lpstr>
      <vt:lpstr>Прайм!Область_печати</vt:lpstr>
      <vt:lpstr>'Прайм (окутка)'!Область_печати</vt:lpstr>
      <vt:lpstr>'Прайм Широкий'!Область_печати</vt:lpstr>
      <vt:lpstr>'Прайм Широкий (окутка)'!Область_печати</vt:lpstr>
      <vt:lpstr>'Угловой Экспресс'!Область_печати</vt:lpstr>
      <vt:lpstr>Экспресс!Область_печати</vt:lpstr>
      <vt:lpstr>'Экспресс 2'!Область_печати</vt:lpstr>
      <vt:lpstr>Эста!Область_печати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2023-09-27T07:22:46Z</cp:lastPrinted>
  <dcterms:created xsi:type="dcterms:W3CDTF">2015-06-05T18:19:34Z</dcterms:created>
  <dcterms:modified xsi:type="dcterms:W3CDTF">2024-10-16T08:46:13Z</dcterms:modified>
</cp:coreProperties>
</file>