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руктура издержек на содержание объектов инфраструктуры\"/>
    </mc:Choice>
  </mc:AlternateContent>
  <bookViews>
    <workbookView xWindow="0" yWindow="0" windowWidth="28800" windowHeight="12330"/>
  </bookViews>
  <sheets>
    <sheet name="2024,в %" sheetId="5" r:id="rId1"/>
    <sheet name="свод" sheetId="7" state="hidden" r:id="rId2"/>
    <sheet name="Лист1" sheetId="8" state="hidden" r:id="rId3"/>
    <sheet name="2023" sheetId="11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'2023'!$A$4:$D$92</definedName>
    <definedName name="_xlnm._FilterDatabase" localSheetId="2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'2024,в %'!#REF!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C202" i="7" l="1"/>
  <c r="C198" i="7"/>
  <c r="D2" i="11"/>
  <c r="D3" i="11"/>
  <c r="D4" i="11"/>
  <c r="D5" i="11"/>
  <c r="D7" i="11"/>
  <c r="D8" i="11"/>
  <c r="D9" i="11"/>
  <c r="D10" i="11"/>
  <c r="D11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8" i="11"/>
  <c r="D29" i="11"/>
  <c r="D30" i="11"/>
  <c r="D32" i="11"/>
  <c r="D33" i="11"/>
  <c r="D34" i="11"/>
  <c r="D35" i="11"/>
  <c r="D36" i="11"/>
  <c r="D37" i="11"/>
  <c r="D38" i="11"/>
  <c r="D39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5" i="11"/>
  <c r="D76" i="11"/>
  <c r="D77" i="11"/>
  <c r="D78" i="11"/>
  <c r="D79" i="11"/>
  <c r="D80" i="11"/>
  <c r="D81" i="11"/>
  <c r="D82" i="11"/>
  <c r="D84" i="11"/>
  <c r="D85" i="11"/>
  <c r="D86" i="11"/>
  <c r="D87" i="11"/>
  <c r="D88" i="11"/>
  <c r="D89" i="11"/>
  <c r="D90" i="11"/>
  <c r="D91" i="11"/>
  <c r="D92" i="11"/>
  <c r="D1" i="11"/>
  <c r="C201" i="7"/>
  <c r="B201" i="7" s="1"/>
  <c r="C200" i="7"/>
  <c r="B200" i="7" s="1"/>
  <c r="C199" i="7"/>
  <c r="B199" i="7" s="1"/>
  <c r="C206" i="7" l="1"/>
  <c r="C205" i="7"/>
  <c r="B205" i="7" s="1"/>
  <c r="C203" i="7"/>
  <c r="B203" i="7" s="1"/>
  <c r="C204" i="7"/>
  <c r="B204" i="7" s="1"/>
  <c r="B202" i="7" l="1"/>
  <c r="C209" i="7"/>
  <c r="C210" i="7" s="1"/>
  <c r="C169" i="7"/>
  <c r="C185" i="7" l="1"/>
  <c r="C184" i="7"/>
  <c r="C183" i="7"/>
  <c r="C190" i="7" l="1"/>
  <c r="C189" i="7"/>
  <c r="C187" i="7"/>
  <c r="C186" i="7"/>
  <c r="B186" i="7" s="1"/>
  <c r="C188" i="7"/>
  <c r="C182" i="7"/>
  <c r="B190" i="7" s="1"/>
  <c r="C193" i="7" l="1"/>
  <c r="C194" i="7" s="1"/>
  <c r="B188" i="7"/>
  <c r="B184" i="7"/>
  <c r="B187" i="7"/>
  <c r="B183" i="7"/>
  <c r="B185" i="7"/>
  <c r="B189" i="7"/>
  <c r="C174" i="7"/>
  <c r="C173" i="7"/>
  <c r="C170" i="7"/>
  <c r="C171" i="7"/>
  <c r="C172" i="7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B182" i="7" l="1"/>
  <c r="C168" i="7"/>
  <c r="C167" i="7"/>
  <c r="C166" i="7"/>
  <c r="B171" i="7" s="1"/>
  <c r="B167" i="7" l="1"/>
  <c r="B169" i="7"/>
  <c r="B170" i="7"/>
  <c r="B173" i="7"/>
  <c r="B168" i="7"/>
  <c r="B174" i="7"/>
  <c r="B172" i="7"/>
  <c r="C177" i="7"/>
  <c r="C178" i="7" s="1"/>
  <c r="B156" i="7"/>
  <c r="B157" i="7"/>
  <c r="B158" i="7"/>
  <c r="B159" i="7"/>
  <c r="B160" i="7"/>
  <c r="B161" i="7"/>
  <c r="B162" i="7"/>
  <c r="B155" i="7"/>
  <c r="B166" i="7" l="1"/>
  <c r="B154" i="7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206" i="7" l="1"/>
  <c r="B198" i="7" s="1"/>
</calcChain>
</file>

<file path=xl/sharedStrings.xml><?xml version="1.0" encoding="utf-8"?>
<sst xmlns="http://schemas.openxmlformats.org/spreadsheetml/2006/main" count="657" uniqueCount="235">
  <si>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</si>
  <si>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</si>
  <si>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</si>
  <si>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</si>
  <si>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</si>
  <si>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</si>
  <si>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</si>
  <si>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</si>
  <si>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</si>
  <si>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</si>
  <si>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</si>
  <si>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</si>
  <si>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</si>
  <si>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</si>
  <si>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</si>
  <si>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</si>
  <si>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</si>
  <si>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</si>
  <si>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</si>
  <si>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</si>
  <si>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</si>
  <si>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</si>
  <si>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</si>
  <si>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</si>
  <si>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</si>
  <si>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</si>
  <si>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</si>
  <si>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</si>
  <si>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</si>
  <si>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</si>
  <si>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</si>
  <si>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</si>
  <si>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</si>
  <si>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</si>
  <si>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</si>
  <si>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</si>
  <si>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</si>
  <si>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</si>
  <si>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</si>
  <si>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</si>
  <si>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</si>
  <si>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</si>
  <si>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</si>
  <si>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</si>
  <si>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</si>
  <si>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</si>
  <si>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</si>
  <si>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</si>
  <si>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</si>
  <si>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</si>
  <si>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</si>
  <si>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</si>
  <si>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</si>
  <si>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</si>
  <si>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</si>
  <si>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</si>
  <si>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</si>
  <si>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</si>
  <si>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</si>
  <si>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</si>
  <si>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</si>
  <si>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</si>
  <si>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</si>
  <si>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</si>
  <si>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</si>
  <si>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</si>
  <si>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</si>
  <si>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</si>
  <si>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</si>
  <si>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</si>
  <si>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</si>
  <si>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</si>
  <si>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</si>
  <si>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</si>
  <si>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</si>
  <si>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</si>
  <si>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Лабораторные исследования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</si>
  <si>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</si>
  <si>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</si>
  <si>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</si>
  <si>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</si>
  <si>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</si>
  <si>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</si>
  <si>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</si>
  <si>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</si>
  <si>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</si>
  <si>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</si>
  <si>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</si>
  <si>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Переговоры</t>
  </si>
  <si>
    <t>Интернет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</si>
  <si>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</si>
  <si>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</si>
  <si>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</si>
  <si>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</si>
  <si>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</si>
  <si>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</si>
  <si>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</si>
  <si>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</si>
  <si>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</si>
  <si>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</si>
  <si>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</si>
  <si>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</si>
  <si>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</si>
  <si>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</si>
  <si>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</si>
  <si>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</si>
  <si>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</si>
  <si>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</si>
  <si>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</si>
  <si>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</si>
  <si>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</si>
  <si>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</si>
  <si>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</si>
  <si>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</si>
  <si>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3.3.3 Текущий ремонт а/м ст 264 п 1 пп 11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</si>
  <si>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</si>
  <si>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</si>
  <si>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</si>
  <si>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</si>
  <si>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</si>
  <si>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</si>
  <si>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</si>
  <si>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</si>
  <si>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</si>
  <si>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</si>
  <si>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</si>
  <si>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</si>
  <si>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</si>
  <si>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</si>
  <si>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</si>
  <si>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</si>
  <si>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</si>
  <si>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</si>
  <si>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</si>
  <si>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</si>
  <si>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</si>
  <si>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</si>
  <si>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</si>
  <si>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</si>
  <si>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</si>
  <si>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</si>
  <si>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</si>
  <si>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</si>
  <si>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</si>
  <si>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</si>
  <si>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</si>
  <si>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</si>
  <si>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</si>
  <si>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</si>
  <si>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</si>
  <si>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</si>
  <si>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</si>
  <si>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</si>
  <si>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</si>
  <si>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</si>
  <si>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</si>
  <si>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</si>
  <si>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</si>
  <si>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</si>
  <si>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</si>
  <si>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</si>
  <si>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</si>
  <si>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</si>
  <si>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</si>
  <si>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</si>
  <si>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</si>
  <si>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</si>
  <si>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</si>
  <si>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</si>
  <si>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</si>
  <si>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</si>
  <si>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</si>
  <si>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</si>
  <si>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</si>
  <si>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</si>
  <si>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</si>
  <si>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</si>
  <si>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</si>
  <si>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</si>
  <si>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</si>
  <si>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</si>
  <si>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</si>
  <si>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</si>
  <si>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</si>
  <si>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</si>
  <si>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</si>
  <si>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</si>
  <si>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</si>
  <si>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</si>
  <si>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</si>
  <si>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</si>
  <si>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</si>
  <si>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</si>
  <si>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</si>
  <si>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</si>
  <si>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</si>
  <si>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</si>
  <si>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</si>
  <si>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</si>
  <si>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</si>
  <si>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</si>
  <si>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</si>
  <si>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</si>
  <si>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</si>
  <si>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</si>
  <si>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</si>
  <si>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</si>
  <si>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</si>
  <si>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</si>
  <si>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</si>
  <si>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</si>
  <si>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</si>
  <si>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</si>
  <si>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</si>
  <si>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</si>
  <si>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</si>
  <si>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</si>
  <si>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</si>
  <si>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</si>
  <si>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</si>
  <si>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</si>
  <si>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</si>
  <si>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</si>
  <si>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</si>
  <si>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</si>
  <si>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</si>
  <si>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</si>
  <si>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60070_Бланки билетов и прочей перевозочной документации</t>
  </si>
  <si>
    <t>60140_ГСМ (масла)</t>
  </si>
  <si>
    <t>60170_ДС от НС работников</t>
  </si>
  <si>
    <t>60103_Амортизация производственного и хозяйственного инвентаря</t>
  </si>
  <si>
    <t>60510_Сертификация и лицензирование</t>
  </si>
  <si>
    <t>Пож</t>
  </si>
  <si>
    <t xml:space="preserve">ОАО "Аэропорты Бурятии"    </t>
  </si>
  <si>
    <t>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</si>
</sst>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8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0" applyNumberFormat="0" applyAlignment="0" applyProtection="0"/>
    <xf numFmtId="0" fontId="13" fillId="21" borderId="11" applyNumberFormat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0" applyNumberFormat="0" applyAlignment="0" applyProtection="0"/>
    <xf numFmtId="0" fontId="21" fillId="0" borderId="15" applyNumberFormat="0" applyFill="0" applyAlignment="0" applyProtection="0"/>
    <xf numFmtId="0" fontId="22" fillId="22" borderId="0" applyNumberFormat="0" applyBorder="0" applyAlignment="0" applyProtection="0"/>
    <xf numFmtId="0" fontId="9" fillId="23" borderId="16" applyNumberFormat="0" applyFont="0" applyAlignment="0" applyProtection="0"/>
    <xf numFmtId="0" fontId="23" fillId="20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24" borderId="0" applyNumberFormat="0" applyBorder="0" applyAlignment="0">
      <alignment vertical="center"/>
    </xf>
    <xf numFmtId="0" fontId="31" fillId="0" borderId="19" applyNumberFormat="0" applyAlignment="0">
      <alignment horizontal="left"/>
    </xf>
    <xf numFmtId="49" fontId="32" fillId="25" borderId="0">
      <alignment horizontal="left" vertical="center"/>
    </xf>
    <xf numFmtId="0" fontId="14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3" fillId="0" borderId="0">
      <alignment horizontal="left"/>
    </xf>
    <xf numFmtId="0" fontId="14" fillId="0" borderId="0"/>
    <xf numFmtId="0" fontId="2" fillId="0" borderId="0"/>
    <xf numFmtId="0" fontId="9" fillId="0" borderId="0"/>
    <xf numFmtId="170" fontId="14" fillId="0" borderId="0"/>
    <xf numFmtId="0" fontId="2" fillId="0" borderId="0"/>
    <xf numFmtId="0" fontId="29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 applyNumberFormat="0" applyFont="0" applyFill="0" applyBorder="0">
      <alignment horizontal="left"/>
    </xf>
    <xf numFmtId="0" fontId="36" fillId="0" borderId="20" applyNumberFormat="0">
      <alignment horizontal="right"/>
    </xf>
    <xf numFmtId="0" fontId="37" fillId="0" borderId="21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38" fillId="0" borderId="0" applyFill="0" applyBorder="0"/>
    <xf numFmtId="0" fontId="34" fillId="0" borderId="0"/>
    <xf numFmtId="0" fontId="39" fillId="0" borderId="0" applyNumberFormat="0" applyFill="0" applyBorder="0" applyAlignment="0" applyProtection="0"/>
    <xf numFmtId="172" fontId="35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6" fillId="0" borderId="0"/>
    <xf numFmtId="0" fontId="1" fillId="0" borderId="0"/>
    <xf numFmtId="0" fontId="40" fillId="0" borderId="0"/>
    <xf numFmtId="164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4" xfId="0" applyFont="1" applyBorder="1"/>
    <xf numFmtId="9" fontId="8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/>
    <xf numFmtId="3" fontId="5" fillId="0" borderId="0" xfId="0" applyNumberFormat="1" applyFont="1" applyFill="1"/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/>
    <xf numFmtId="9" fontId="5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9" fontId="5" fillId="0" borderId="0" xfId="0" applyNumberFormat="1" applyFont="1" applyBorder="1" applyAlignment="1">
      <alignment horizontal="center" vertical="center"/>
    </xf>
    <xf numFmtId="0" fontId="44" fillId="26" borderId="23" xfId="179" applyNumberFormat="1" applyFont="1" applyFill="1" applyBorder="1" applyAlignment="1">
      <alignment horizontal="left" vertical="top" wrapText="1"/>
    </xf>
    <xf numFmtId="4" fontId="42" fillId="0" borderId="16" xfId="179" applyNumberFormat="1" applyFont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1"/>
    </xf>
    <xf numFmtId="0" fontId="43" fillId="26" borderId="16" xfId="179" applyNumberFormat="1" applyFont="1" applyFill="1" applyBorder="1" applyAlignment="1">
      <alignment horizontal="right" vertical="top" wrapText="1"/>
    </xf>
    <xf numFmtId="4" fontId="43" fillId="26" borderId="16" xfId="179" applyNumberFormat="1" applyFont="1" applyFill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2"/>
    </xf>
    <xf numFmtId="0" fontId="42" fillId="0" borderId="16" xfId="179" applyNumberFormat="1" applyFont="1" applyBorder="1" applyAlignment="1">
      <alignment horizontal="left" vertical="top" wrapText="1" indent="3"/>
    </xf>
    <xf numFmtId="0" fontId="43" fillId="26" borderId="16" xfId="179" applyNumberFormat="1" applyFont="1" applyFill="1" applyBorder="1" applyAlignment="1">
      <alignment horizontal="left" vertical="top" wrapText="1" indent="3"/>
    </xf>
    <xf numFmtId="0" fontId="42" fillId="0" borderId="16" xfId="179" applyNumberFormat="1" applyFont="1" applyBorder="1" applyAlignment="1">
      <alignment horizontal="left" vertical="top" wrapText="1" indent="4"/>
    </xf>
    <xf numFmtId="0" fontId="43" fillId="26" borderId="16" xfId="179" applyNumberFormat="1" applyFont="1" applyFill="1" applyBorder="1" applyAlignment="1">
      <alignment horizontal="left" vertical="top" wrapText="1" indent="4"/>
    </xf>
    <xf numFmtId="0" fontId="42" fillId="0" borderId="16" xfId="179" applyNumberFormat="1" applyFont="1" applyBorder="1" applyAlignment="1">
      <alignment horizontal="left" vertical="top" wrapText="1" indent="5"/>
    </xf>
    <xf numFmtId="2" fontId="42" fillId="0" borderId="16" xfId="179" applyNumberFormat="1" applyFont="1" applyBorder="1" applyAlignment="1">
      <alignment horizontal="right" vertical="top" wrapText="1"/>
    </xf>
    <xf numFmtId="0" fontId="42" fillId="0" borderId="16" xfId="179" applyNumberFormat="1" applyFont="1" applyBorder="1" applyAlignment="1">
      <alignment horizontal="left" vertical="top" wrapText="1" indent="2"/>
    </xf>
    <xf numFmtId="4" fontId="45" fillId="0" borderId="16" xfId="179" applyNumberFormat="1" applyFont="1" applyBorder="1" applyAlignment="1">
      <alignment horizontal="right" vertical="top" wrapText="1"/>
    </xf>
    <xf numFmtId="0" fontId="41" fillId="26" borderId="23" xfId="179" applyNumberFormat="1" applyFont="1" applyFill="1" applyBorder="1" applyAlignment="1">
      <alignment horizontal="left" vertical="top"/>
    </xf>
    <xf numFmtId="4" fontId="41" fillId="26" borderId="23" xfId="179" applyNumberFormat="1" applyFont="1" applyFill="1" applyBorder="1" applyAlignment="1">
      <alignment horizontal="right" vertical="top" wrapText="1"/>
    </xf>
    <xf numFmtId="10" fontId="43" fillId="26" borderId="16" xfId="179" applyNumberFormat="1" applyFont="1" applyFill="1" applyBorder="1" applyAlignment="1">
      <alignment horizontal="right" vertical="top" wrapText="1"/>
    </xf>
    <xf numFmtId="10" fontId="42" fillId="0" borderId="16" xfId="179" applyNumberFormat="1" applyFont="1" applyBorder="1" applyAlignment="1">
      <alignment horizontal="right" vertical="top" wrapText="1"/>
    </xf>
    <xf numFmtId="164" fontId="0" fillId="0" borderId="0" xfId="180" applyFont="1"/>
    <xf numFmtId="0" fontId="47" fillId="27" borderId="24" xfId="0" applyFont="1" applyFill="1" applyBorder="1" applyAlignment="1">
      <alignment horizontal="left" vertical="top" wrapText="1"/>
    </xf>
    <xf numFmtId="0" fontId="48" fillId="0" borderId="24" xfId="0" applyFont="1" applyBorder="1" applyAlignment="1">
      <alignment horizontal="left" vertical="top" wrapText="1"/>
    </xf>
    <xf numFmtId="0" fontId="48" fillId="0" borderId="24" xfId="0" applyFont="1" applyBorder="1" applyAlignment="1">
      <alignment horizontal="right" vertical="top" wrapText="1"/>
    </xf>
    <xf numFmtId="164" fontId="48" fillId="0" borderId="24" xfId="180" applyFont="1" applyBorder="1" applyAlignment="1">
      <alignment horizontal="right" vertical="top" wrapText="1"/>
    </xf>
    <xf numFmtId="164" fontId="0" fillId="0" borderId="0" xfId="0" applyNumberFormat="1"/>
    <xf numFmtId="43" fontId="0" fillId="0" borderId="0" xfId="0" applyNumberFormat="1"/>
    <xf numFmtId="164" fontId="0" fillId="0" borderId="0" xfId="180" applyFont="1" applyFill="1"/>
    <xf numFmtId="164" fontId="0" fillId="28" borderId="0" xfId="180" applyFont="1" applyFill="1"/>
    <xf numFmtId="9" fontId="6" fillId="0" borderId="6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/>
    </xf>
    <xf numFmtId="9" fontId="6" fillId="0" borderId="4" xfId="18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73" fontId="5" fillId="0" borderId="2" xfId="0" applyNumberFormat="1" applyFont="1" applyBorder="1" applyAlignment="1">
      <alignment horizontal="center" vertical="center"/>
    </xf>
    <xf numFmtId="173" fontId="5" fillId="0" borderId="6" xfId="0" applyNumberFormat="1" applyFont="1" applyBorder="1" applyAlignment="1">
      <alignment horizontal="center" vertical="center"/>
    </xf>
    <xf numFmtId="173" fontId="5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4" fillId="26" borderId="23" xfId="179" applyNumberFormat="1" applyFont="1" applyFill="1" applyBorder="1" applyAlignment="1">
      <alignment horizontal="left" vertical="top" wrapText="1"/>
    </xf>
  </cellXfs>
  <cellStyles count="1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79"/>
    <cellStyle name="Первый столбец" xfId="144"/>
    <cellStyle name="Подзаголовок" xfId="145"/>
    <cellStyle name="Подитоги" xfId="146"/>
    <cellStyle name="Процентный" xfId="181" builtinId="5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" xfId="180" builtinId="3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hin.v\Desktop\&#1084;&#1086;&#1081;%20&#1088;&#1072;&#1073;&#1086;&#1095;&#1080;&#1081;%20&#1089;&#1090;&#1086;&#1083;\&#1056;&#1072;&#1073;&#1086;&#1095;&#1080;&#1081;%20&#1089;&#1090;&#1086;&#1083;\&#1054;&#1060;&#1056;\&#1040;&#1055;&#1058;\2021\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9;&#1082;&#1086;&#1085;&#1086;&#1084;&#1080;&#1095;&#1077;&#1089;&#1082;&#1080;&#1081;\&#1040;&#1083;&#1077;&#1096;&#1080;&#1085;\&#1054;&#1060;&#1056;\&#1040;&#1055;&#1058;\2022\&#1086;&#1090;%2006.02\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2&#1075;\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9;&#1082;&#1086;&#1085;&#1086;&#1084;&#1080;&#1095;&#1077;&#1089;&#1082;&#1080;&#1081;\&#1040;&#1083;&#1077;&#1096;&#1080;&#1085;\&#1054;&#1060;&#1056;\&#1040;&#1055;&#1058;\2023\&#1054;&#1090;&#1095;&#1077;&#1090;%20&#1086;%20&#1092;&#1080;&#1085;&#1072;&#1085;&#1089;&#1086;&#1074;&#1099;&#1093;%20&#1088;&#1077;&#1079;&#1091;&#1083;&#1100;&#1090;&#1072;&#1090;&#1072;&#1093;.%20&#1040;&#1055;&#1058;%202023%20%20&#1051;&#1080;&#1089;&#1090;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3&#1075;\&#1045;&#1054;_&#1040;&#1055;&#1058;(2023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55;&#1088;&#1080;&#1083;&#1086;&#1078;&#1077;&#1085;&#1080;&#1103;%202021\&#1055;&#1088;&#1080;&#1083;&#1086;&#1078;&#1077;&#1085;&#1080;&#1103;\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228</v>
          </cell>
        </row>
      </sheetData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4">
          <cell r="E4">
            <v>41572.358899999999</v>
          </cell>
        </row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7">
          <cell r="O17">
            <v>-341885461.76999998</v>
          </cell>
        </row>
        <row r="20">
          <cell r="O20">
            <v>-160574325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 refreshError="1"/>
      <sheetData sheetId="1" refreshError="1"/>
      <sheetData sheetId="2">
        <row r="6">
          <cell r="L6">
            <v>180064.94696</v>
          </cell>
        </row>
        <row r="7">
          <cell r="L7">
            <v>54299.101370000004</v>
          </cell>
        </row>
        <row r="27">
          <cell r="L27">
            <v>80522.862889999989</v>
          </cell>
        </row>
        <row r="28">
          <cell r="L28">
            <v>19685.434580000001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2">
          <cell r="K22">
            <v>20856.2788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15"/>
  <sheetViews>
    <sheetView tabSelected="1" zoomScaleNormal="100" zoomScaleSheetLayoutView="81" workbookViewId="0">
      <selection activeCell="E19" sqref="E19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2" spans="2:7" ht="18.75" x14ac:dyDescent="0.25">
      <c r="B2" s="59" t="s">
        <v>0</v>
      </c>
      <c r="C2" s="60"/>
      <c r="D2" s="60"/>
      <c r="E2" s="60"/>
      <c r="F2" s="60"/>
      <c r="G2" s="60"/>
    </row>
    <row r="3" spans="2:7" ht="18.75" x14ac:dyDescent="0.25">
      <c r="B3" s="1"/>
      <c r="C3" s="59" t="s">
        <v>233</v>
      </c>
      <c r="D3" s="59"/>
      <c r="E3" s="59"/>
      <c r="F3" s="59"/>
      <c r="G3" s="59"/>
    </row>
    <row r="4" spans="2:7" ht="18.75" x14ac:dyDescent="0.25">
      <c r="B4" s="1"/>
      <c r="C4" s="61" t="s">
        <v>234</v>
      </c>
      <c r="D4" s="61"/>
      <c r="E4" s="61"/>
      <c r="F4" s="61"/>
      <c r="G4" s="61"/>
    </row>
    <row r="5" spans="2:7" ht="16.5" thickBot="1" x14ac:dyDescent="0.3">
      <c r="B5" s="1"/>
      <c r="C5" s="2"/>
      <c r="D5" s="19"/>
      <c r="E5" s="20"/>
      <c r="F5" s="21"/>
      <c r="G5" s="15"/>
    </row>
    <row r="6" spans="2:7" ht="15.75" x14ac:dyDescent="0.25">
      <c r="B6" s="1"/>
      <c r="C6" s="2"/>
      <c r="D6" s="62" t="s">
        <v>1</v>
      </c>
      <c r="E6" s="3" t="s">
        <v>2</v>
      </c>
      <c r="F6" s="4" t="s">
        <v>3</v>
      </c>
      <c r="G6" s="15"/>
    </row>
    <row r="7" spans="2:7" ht="16.5" thickBot="1" x14ac:dyDescent="0.3">
      <c r="B7" s="1"/>
      <c r="C7" s="2"/>
      <c r="D7" s="63"/>
      <c r="E7" s="5" t="s">
        <v>4</v>
      </c>
      <c r="F7" s="55">
        <f>SUM(F8:F15)</f>
        <v>100</v>
      </c>
      <c r="G7" s="15"/>
    </row>
    <row r="8" spans="2:7" ht="15.75" x14ac:dyDescent="0.25">
      <c r="B8" s="1"/>
      <c r="C8" s="2"/>
      <c r="D8" s="7">
        <v>1</v>
      </c>
      <c r="E8" s="8" t="s">
        <v>5</v>
      </c>
      <c r="F8" s="56">
        <v>55.3</v>
      </c>
      <c r="G8" s="15"/>
    </row>
    <row r="9" spans="2:7" ht="15.75" x14ac:dyDescent="0.25">
      <c r="B9" s="1"/>
      <c r="C9" s="2"/>
      <c r="D9" s="9">
        <v>2</v>
      </c>
      <c r="E9" s="10" t="s">
        <v>6</v>
      </c>
      <c r="F9" s="57">
        <v>10.199999999999999</v>
      </c>
      <c r="G9" s="15"/>
    </row>
    <row r="10" spans="2:7" ht="15.75" x14ac:dyDescent="0.25">
      <c r="B10" s="1"/>
      <c r="C10" s="2"/>
      <c r="D10" s="9">
        <v>3</v>
      </c>
      <c r="E10" s="10" t="s">
        <v>7</v>
      </c>
      <c r="F10" s="57">
        <v>2.4</v>
      </c>
      <c r="G10" s="15"/>
    </row>
    <row r="11" spans="2:7" ht="31.5" x14ac:dyDescent="0.25">
      <c r="B11" s="1"/>
      <c r="C11" s="2"/>
      <c r="D11" s="9">
        <v>4</v>
      </c>
      <c r="E11" s="11" t="s">
        <v>8</v>
      </c>
      <c r="F11" s="57">
        <v>9.6</v>
      </c>
      <c r="G11" s="15"/>
    </row>
    <row r="12" spans="2:7" ht="15.75" x14ac:dyDescent="0.25">
      <c r="B12" s="1"/>
      <c r="C12" s="2"/>
      <c r="D12" s="9">
        <v>5</v>
      </c>
      <c r="E12" s="10" t="s">
        <v>9</v>
      </c>
      <c r="F12" s="57">
        <v>1.8</v>
      </c>
      <c r="G12" s="15"/>
    </row>
    <row r="13" spans="2:7" ht="31.5" x14ac:dyDescent="0.25">
      <c r="B13" s="1"/>
      <c r="C13" s="2"/>
      <c r="D13" s="12">
        <v>6</v>
      </c>
      <c r="E13" s="13" t="s">
        <v>10</v>
      </c>
      <c r="F13" s="57">
        <v>1</v>
      </c>
      <c r="G13" s="15"/>
    </row>
    <row r="14" spans="2:7" ht="15.75" x14ac:dyDescent="0.25">
      <c r="B14" s="1"/>
      <c r="C14" s="2"/>
      <c r="D14" s="12">
        <v>7</v>
      </c>
      <c r="E14" s="14" t="s">
        <v>11</v>
      </c>
      <c r="F14" s="57">
        <v>3.4</v>
      </c>
      <c r="G14" s="15"/>
    </row>
    <row r="15" spans="2:7" ht="16.5" thickBot="1" x14ac:dyDescent="0.3">
      <c r="B15" s="1"/>
      <c r="C15" s="2"/>
      <c r="D15" s="16">
        <v>8</v>
      </c>
      <c r="E15" s="17" t="s">
        <v>12</v>
      </c>
      <c r="F15" s="58">
        <v>16.3</v>
      </c>
      <c r="G15" s="15"/>
    </row>
  </sheetData>
  <mergeCells count="4">
    <mergeCell ref="B2:G2"/>
    <mergeCell ref="C3:G3"/>
    <mergeCell ref="C4:G4"/>
    <mergeCell ref="D6:D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"/>
  <sheetViews>
    <sheetView topLeftCell="A145" workbookViewId="0">
      <selection activeCell="C203" sqref="C20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22" t="s">
        <v>150</v>
      </c>
      <c r="B1" s="64" t="s">
        <v>149</v>
      </c>
      <c r="C1" s="64"/>
    </row>
    <row r="2" spans="1:3" x14ac:dyDescent="0.25">
      <c r="A2" s="22" t="s">
        <v>148</v>
      </c>
      <c r="B2" s="22" t="s">
        <v>147</v>
      </c>
      <c r="C2" s="22" t="s">
        <v>151</v>
      </c>
    </row>
    <row r="3" spans="1:3" x14ac:dyDescent="0.25">
      <c r="A3" s="24" t="s">
        <v>146</v>
      </c>
      <c r="B3" s="26">
        <v>249272241.59</v>
      </c>
      <c r="C3" s="25"/>
    </row>
    <row r="4" spans="1:3" x14ac:dyDescent="0.25">
      <c r="A4" s="27" t="s">
        <v>145</v>
      </c>
      <c r="B4" s="26">
        <v>149425532.69999999</v>
      </c>
      <c r="C4" s="38">
        <f>B4/$B$3</f>
        <v>0.59944714159458357</v>
      </c>
    </row>
    <row r="5" spans="1:3" x14ac:dyDescent="0.25">
      <c r="A5" s="28" t="s">
        <v>5</v>
      </c>
      <c r="B5" s="23">
        <v>115669473.73</v>
      </c>
      <c r="C5" s="39">
        <f t="shared" ref="C5:C35" si="0">B5/$B$3</f>
        <v>0.46402869807000718</v>
      </c>
    </row>
    <row r="6" spans="1:3" x14ac:dyDescent="0.25">
      <c r="A6" s="28" t="s">
        <v>144</v>
      </c>
      <c r="B6" s="23">
        <v>33756058.969999999</v>
      </c>
      <c r="C6" s="39">
        <f t="shared" si="0"/>
        <v>0.13541844352457647</v>
      </c>
    </row>
    <row r="7" spans="1:3" x14ac:dyDescent="0.25">
      <c r="A7" s="27" t="s">
        <v>143</v>
      </c>
      <c r="B7" s="26">
        <v>21791959.140000001</v>
      </c>
      <c r="C7" s="38">
        <f t="shared" si="0"/>
        <v>8.7422325891557365E-2</v>
      </c>
    </row>
    <row r="8" spans="1:3" x14ac:dyDescent="0.25">
      <c r="A8" s="28" t="s">
        <v>142</v>
      </c>
      <c r="B8" s="23">
        <v>573940.92000000004</v>
      </c>
      <c r="C8" s="39">
        <f t="shared" si="0"/>
        <v>2.3024662366699106E-3</v>
      </c>
    </row>
    <row r="9" spans="1:3" x14ac:dyDescent="0.25">
      <c r="A9" s="28" t="s">
        <v>141</v>
      </c>
      <c r="B9" s="23">
        <v>21218018.219999999</v>
      </c>
      <c r="C9" s="39">
        <f t="shared" si="0"/>
        <v>8.5119859654887456E-2</v>
      </c>
    </row>
    <row r="10" spans="1:3" x14ac:dyDescent="0.25">
      <c r="A10" s="27" t="s">
        <v>140</v>
      </c>
      <c r="B10" s="26">
        <v>32517192.879999999</v>
      </c>
      <c r="C10" s="38">
        <f t="shared" si="0"/>
        <v>0.13044851152533818</v>
      </c>
    </row>
    <row r="11" spans="1:3" x14ac:dyDescent="0.25">
      <c r="A11" s="29" t="s">
        <v>139</v>
      </c>
      <c r="B11" s="26">
        <v>12737048.65</v>
      </c>
      <c r="C11" s="38">
        <f t="shared" si="0"/>
        <v>5.1096939509814115E-2</v>
      </c>
    </row>
    <row r="12" spans="1:3" x14ac:dyDescent="0.25">
      <c r="A12" s="30" t="s">
        <v>138</v>
      </c>
      <c r="B12" s="23">
        <v>56539.81</v>
      </c>
      <c r="C12" s="39">
        <f t="shared" si="0"/>
        <v>2.2681951925074755E-4</v>
      </c>
    </row>
    <row r="13" spans="1:3" x14ac:dyDescent="0.25">
      <c r="A13" s="30" t="s">
        <v>137</v>
      </c>
      <c r="B13" s="23">
        <v>254966.11</v>
      </c>
      <c r="C13" s="39">
        <f t="shared" si="0"/>
        <v>1.0228419673754337E-3</v>
      </c>
    </row>
    <row r="14" spans="1:3" x14ac:dyDescent="0.25">
      <c r="A14" s="30" t="s">
        <v>136</v>
      </c>
      <c r="B14" s="23">
        <v>126496.62</v>
      </c>
      <c r="C14" s="39">
        <f t="shared" si="0"/>
        <v>5.0746372397156086E-4</v>
      </c>
    </row>
    <row r="15" spans="1:3" x14ac:dyDescent="0.25">
      <c r="A15" s="30" t="s">
        <v>135</v>
      </c>
      <c r="B15" s="23">
        <v>6814530.7699999996</v>
      </c>
      <c r="C15" s="39">
        <f t="shared" si="0"/>
        <v>2.7337704056147809E-2</v>
      </c>
    </row>
    <row r="16" spans="1:3" x14ac:dyDescent="0.25">
      <c r="A16" s="30" t="s">
        <v>134</v>
      </c>
      <c r="B16" s="23">
        <v>66535.199999999997</v>
      </c>
      <c r="C16" s="39">
        <f t="shared" si="0"/>
        <v>2.6691780671446078E-4</v>
      </c>
    </row>
    <row r="17" spans="1:3" x14ac:dyDescent="0.25">
      <c r="A17" s="30" t="s">
        <v>133</v>
      </c>
      <c r="B17" s="23">
        <v>5417980.1399999997</v>
      </c>
      <c r="C17" s="39">
        <f t="shared" si="0"/>
        <v>2.1735192436354099E-2</v>
      </c>
    </row>
    <row r="18" spans="1:3" x14ac:dyDescent="0.25">
      <c r="A18" s="29" t="s">
        <v>132</v>
      </c>
      <c r="B18" s="26">
        <v>8221242.1500000004</v>
      </c>
      <c r="C18" s="38">
        <f t="shared" si="0"/>
        <v>3.2980977334500811E-2</v>
      </c>
    </row>
    <row r="19" spans="1:3" x14ac:dyDescent="0.25">
      <c r="A19" s="30" t="s">
        <v>131</v>
      </c>
      <c r="B19" s="23">
        <v>345324.49</v>
      </c>
      <c r="C19" s="39">
        <f t="shared" si="0"/>
        <v>1.3853307042826918E-3</v>
      </c>
    </row>
    <row r="20" spans="1:3" x14ac:dyDescent="0.25">
      <c r="A20" s="30" t="s">
        <v>130</v>
      </c>
      <c r="B20" s="23">
        <v>6096429.3600000003</v>
      </c>
      <c r="C20" s="39">
        <f t="shared" si="0"/>
        <v>2.4456912334536368E-2</v>
      </c>
    </row>
    <row r="21" spans="1:3" x14ac:dyDescent="0.25">
      <c r="A21" s="30" t="s">
        <v>129</v>
      </c>
      <c r="B21" s="23">
        <v>1032722.03</v>
      </c>
      <c r="C21" s="39">
        <f t="shared" si="0"/>
        <v>4.1429483821091035E-3</v>
      </c>
    </row>
    <row r="22" spans="1:3" x14ac:dyDescent="0.25">
      <c r="A22" s="31" t="s">
        <v>128</v>
      </c>
      <c r="B22" s="26">
        <v>746766.27</v>
      </c>
      <c r="C22" s="38">
        <f t="shared" si="0"/>
        <v>2.995785913572648E-3</v>
      </c>
    </row>
    <row r="23" spans="1:3" x14ac:dyDescent="0.25">
      <c r="A23" s="32" t="s">
        <v>127</v>
      </c>
      <c r="B23" s="23">
        <v>188071</v>
      </c>
      <c r="C23" s="39">
        <f t="shared" si="0"/>
        <v>7.5448031758520843E-4</v>
      </c>
    </row>
    <row r="24" spans="1:3" x14ac:dyDescent="0.25">
      <c r="A24" s="32" t="s">
        <v>126</v>
      </c>
      <c r="B24" s="23">
        <v>15485</v>
      </c>
      <c r="C24" s="39">
        <f t="shared" si="0"/>
        <v>6.2120835842883549E-5</v>
      </c>
    </row>
    <row r="25" spans="1:3" x14ac:dyDescent="0.25">
      <c r="A25" s="32" t="s">
        <v>125</v>
      </c>
      <c r="B25" s="23">
        <v>124200</v>
      </c>
      <c r="C25" s="39">
        <f t="shared" si="0"/>
        <v>4.98250423744665E-4</v>
      </c>
    </row>
    <row r="26" spans="1:3" x14ac:dyDescent="0.25">
      <c r="A26" s="32" t="s">
        <v>124</v>
      </c>
      <c r="B26" s="23">
        <v>22809.119999999999</v>
      </c>
      <c r="C26" s="39">
        <f t="shared" si="0"/>
        <v>9.1502847868300423E-5</v>
      </c>
    </row>
    <row r="27" spans="1:3" x14ac:dyDescent="0.25">
      <c r="A27" s="32" t="s">
        <v>123</v>
      </c>
      <c r="B27" s="23">
        <v>77827.399999999994</v>
      </c>
      <c r="C27" s="39">
        <f t="shared" si="0"/>
        <v>3.1221847849392543E-4</v>
      </c>
    </row>
    <row r="28" spans="1:3" x14ac:dyDescent="0.25">
      <c r="A28" s="32" t="s">
        <v>122</v>
      </c>
      <c r="B28" s="23">
        <v>180201.95</v>
      </c>
      <c r="C28" s="39">
        <f t="shared" si="0"/>
        <v>7.2291222179641655E-4</v>
      </c>
    </row>
    <row r="29" spans="1:3" x14ac:dyDescent="0.25">
      <c r="A29" s="32" t="s">
        <v>121</v>
      </c>
      <c r="B29" s="23">
        <v>61010.7</v>
      </c>
      <c r="C29" s="39">
        <f t="shared" si="0"/>
        <v>2.4475529088533517E-4</v>
      </c>
    </row>
    <row r="30" spans="1:3" x14ac:dyDescent="0.25">
      <c r="A30" s="32" t="s">
        <v>120</v>
      </c>
      <c r="B30" s="23">
        <v>77161.100000000006</v>
      </c>
      <c r="C30" s="39">
        <f t="shared" si="0"/>
        <v>3.0954549735591361E-4</v>
      </c>
    </row>
    <row r="31" spans="1:3" x14ac:dyDescent="0.25">
      <c r="A31" s="29" t="s">
        <v>119</v>
      </c>
      <c r="B31" s="26">
        <v>9375473.4299999997</v>
      </c>
      <c r="C31" s="38">
        <f t="shared" si="0"/>
        <v>3.7611381717426305E-2</v>
      </c>
    </row>
    <row r="32" spans="1:3" x14ac:dyDescent="0.25">
      <c r="A32" s="31" t="s">
        <v>118</v>
      </c>
      <c r="B32" s="26">
        <v>49000</v>
      </c>
      <c r="C32" s="38">
        <f t="shared" si="0"/>
        <v>1.9657222836947329E-4</v>
      </c>
    </row>
    <row r="33" spans="1:3" x14ac:dyDescent="0.25">
      <c r="A33" s="32" t="s">
        <v>117</v>
      </c>
      <c r="B33" s="23">
        <v>32280</v>
      </c>
      <c r="C33" s="39">
        <f t="shared" si="0"/>
        <v>1.2949697003605302E-4</v>
      </c>
    </row>
    <row r="34" spans="1:3" x14ac:dyDescent="0.25">
      <c r="A34" s="32" t="s">
        <v>116</v>
      </c>
      <c r="B34" s="23">
        <v>16720</v>
      </c>
      <c r="C34" s="39">
        <f t="shared" si="0"/>
        <v>6.7075258333420279E-5</v>
      </c>
    </row>
    <row r="35" spans="1:3" x14ac:dyDescent="0.25">
      <c r="A35" s="31" t="s">
        <v>115</v>
      </c>
      <c r="B35" s="26">
        <v>5833460.3399999999</v>
      </c>
      <c r="C35" s="38">
        <f t="shared" si="0"/>
        <v>2.3401965268137658E-2</v>
      </c>
    </row>
    <row r="36" spans="1:3" x14ac:dyDescent="0.25">
      <c r="A36" s="31" t="s">
        <v>114</v>
      </c>
      <c r="B36" s="26">
        <v>3493013.09</v>
      </c>
      <c r="C36" s="38">
        <f t="shared" ref="C36" si="1">B36/$B$3</f>
        <v>1.4012844220919175E-2</v>
      </c>
    </row>
    <row r="37" spans="1:3" x14ac:dyDescent="0.25">
      <c r="A37" s="29" t="s">
        <v>113</v>
      </c>
      <c r="B37" s="26">
        <v>2183428.65</v>
      </c>
      <c r="C37" s="38">
        <f t="shared" ref="C37:C61" si="2">B37/$B$3</f>
        <v>8.7592129635969546E-3</v>
      </c>
    </row>
    <row r="38" spans="1:3" x14ac:dyDescent="0.25">
      <c r="A38" s="31" t="s">
        <v>112</v>
      </c>
      <c r="B38" s="26">
        <v>795110.27</v>
      </c>
      <c r="C38" s="38">
        <f t="shared" si="2"/>
        <v>3.1897264810888484E-3</v>
      </c>
    </row>
    <row r="39" spans="1:3" x14ac:dyDescent="0.25">
      <c r="A39" s="32" t="s">
        <v>111</v>
      </c>
      <c r="B39" s="23">
        <v>208222.03</v>
      </c>
      <c r="C39" s="39">
        <f t="shared" si="2"/>
        <v>8.3531976393296566E-4</v>
      </c>
    </row>
    <row r="40" spans="1:3" x14ac:dyDescent="0.25">
      <c r="A40" s="32" t="s">
        <v>110</v>
      </c>
      <c r="B40" s="23">
        <v>586888.24</v>
      </c>
      <c r="C40" s="39">
        <f t="shared" si="2"/>
        <v>2.3544067171558827E-3</v>
      </c>
    </row>
    <row r="41" spans="1:3" x14ac:dyDescent="0.25">
      <c r="A41" s="31" t="s">
        <v>109</v>
      </c>
      <c r="B41" s="26">
        <v>991836.72</v>
      </c>
      <c r="C41" s="38">
        <f t="shared" si="2"/>
        <v>3.9789296781442725E-3</v>
      </c>
    </row>
    <row r="42" spans="1:3" x14ac:dyDescent="0.25">
      <c r="A42" s="32" t="s">
        <v>108</v>
      </c>
      <c r="B42" s="23">
        <v>602439.36</v>
      </c>
      <c r="C42" s="39">
        <f t="shared" si="2"/>
        <v>2.4167928051567209E-3</v>
      </c>
    </row>
    <row r="43" spans="1:3" x14ac:dyDescent="0.25">
      <c r="A43" s="32" t="s">
        <v>107</v>
      </c>
      <c r="B43" s="23">
        <v>389397.36</v>
      </c>
      <c r="C43" s="39">
        <f t="shared" si="2"/>
        <v>1.5621368729875512E-3</v>
      </c>
    </row>
    <row r="44" spans="1:3" x14ac:dyDescent="0.25">
      <c r="A44" s="31" t="s">
        <v>106</v>
      </c>
      <c r="B44" s="26">
        <v>121376.56</v>
      </c>
      <c r="C44" s="38">
        <f t="shared" si="2"/>
        <v>4.8692369124532812E-4</v>
      </c>
    </row>
    <row r="45" spans="1:3" x14ac:dyDescent="0.25">
      <c r="A45" s="32" t="s">
        <v>105</v>
      </c>
      <c r="B45" s="23">
        <v>121376.56</v>
      </c>
      <c r="C45" s="39">
        <f t="shared" si="2"/>
        <v>4.8692369124532812E-4</v>
      </c>
    </row>
    <row r="46" spans="1:3" x14ac:dyDescent="0.25">
      <c r="A46" s="31" t="s">
        <v>104</v>
      </c>
      <c r="B46" s="26">
        <v>275105.09999999998</v>
      </c>
      <c r="C46" s="38">
        <f t="shared" si="2"/>
        <v>1.1036331131185058E-3</v>
      </c>
    </row>
    <row r="47" spans="1:3" x14ac:dyDescent="0.25">
      <c r="A47" s="32" t="s">
        <v>152</v>
      </c>
      <c r="B47" s="23">
        <v>25428.39</v>
      </c>
      <c r="C47" s="39">
        <f t="shared" si="2"/>
        <v>1.0201051604383736E-4</v>
      </c>
    </row>
    <row r="48" spans="1:3" x14ac:dyDescent="0.25">
      <c r="A48" s="32" t="s">
        <v>103</v>
      </c>
      <c r="B48" s="23">
        <v>249676.71</v>
      </c>
      <c r="C48" s="39">
        <f t="shared" si="2"/>
        <v>1.0016225970746685E-3</v>
      </c>
    </row>
    <row r="49" spans="1:3" x14ac:dyDescent="0.25">
      <c r="A49" s="27" t="s">
        <v>102</v>
      </c>
      <c r="B49" s="26">
        <v>8185711.1399999997</v>
      </c>
      <c r="C49" s="38">
        <f t="shared" si="2"/>
        <v>3.2838438358747377E-2</v>
      </c>
    </row>
    <row r="50" spans="1:3" x14ac:dyDescent="0.25">
      <c r="A50" s="29" t="s">
        <v>153</v>
      </c>
      <c r="B50" s="26">
        <v>1864125</v>
      </c>
      <c r="C50" s="38">
        <f t="shared" si="2"/>
        <v>7.4782694940662125E-3</v>
      </c>
    </row>
    <row r="51" spans="1:3" x14ac:dyDescent="0.25">
      <c r="A51" s="31" t="s">
        <v>154</v>
      </c>
      <c r="B51" s="26">
        <v>1864125</v>
      </c>
      <c r="C51" s="38">
        <f t="shared" si="2"/>
        <v>7.4782694940662125E-3</v>
      </c>
    </row>
    <row r="52" spans="1:3" x14ac:dyDescent="0.25">
      <c r="A52" s="32" t="s">
        <v>155</v>
      </c>
      <c r="B52" s="23">
        <v>1864125</v>
      </c>
      <c r="C52" s="39">
        <f t="shared" si="2"/>
        <v>7.4782694940662125E-3</v>
      </c>
    </row>
    <row r="53" spans="1:3" x14ac:dyDescent="0.25">
      <c r="A53" s="28" t="s">
        <v>156</v>
      </c>
      <c r="B53" s="23">
        <v>3019499.72</v>
      </c>
      <c r="C53" s="39">
        <f t="shared" si="2"/>
        <v>1.2113260990232667E-2</v>
      </c>
    </row>
    <row r="54" spans="1:3" x14ac:dyDescent="0.25">
      <c r="A54" s="28" t="s">
        <v>101</v>
      </c>
      <c r="B54" s="23">
        <v>3302086.42</v>
      </c>
      <c r="C54" s="39">
        <f t="shared" si="2"/>
        <v>1.32469078744485E-2</v>
      </c>
    </row>
    <row r="55" spans="1:3" x14ac:dyDescent="0.25">
      <c r="A55" s="27" t="s">
        <v>100</v>
      </c>
      <c r="B55" s="26">
        <v>15267463.630000001</v>
      </c>
      <c r="C55" s="38">
        <f t="shared" si="2"/>
        <v>6.1248149944877303E-2</v>
      </c>
    </row>
    <row r="56" spans="1:3" x14ac:dyDescent="0.25">
      <c r="A56" s="29" t="s">
        <v>99</v>
      </c>
      <c r="B56" s="26">
        <v>8624106.7799999993</v>
      </c>
      <c r="C56" s="38">
        <f t="shared" si="2"/>
        <v>3.4597140560018017E-2</v>
      </c>
    </row>
    <row r="57" spans="1:3" x14ac:dyDescent="0.25">
      <c r="A57" s="30" t="s">
        <v>98</v>
      </c>
      <c r="B57" s="23">
        <v>2294840</v>
      </c>
      <c r="C57" s="39">
        <f t="shared" si="2"/>
        <v>9.2061594398245329E-3</v>
      </c>
    </row>
    <row r="58" spans="1:3" x14ac:dyDescent="0.25">
      <c r="A58" s="30" t="s">
        <v>97</v>
      </c>
      <c r="B58" s="23">
        <v>884745.72</v>
      </c>
      <c r="C58" s="39">
        <f t="shared" si="2"/>
        <v>3.5493150555255932E-3</v>
      </c>
    </row>
    <row r="59" spans="1:3" x14ac:dyDescent="0.25">
      <c r="A59" s="30" t="s">
        <v>96</v>
      </c>
      <c r="B59" s="23">
        <v>1674460.56</v>
      </c>
      <c r="C59" s="39">
        <f t="shared" si="2"/>
        <v>6.7173968080815544E-3</v>
      </c>
    </row>
    <row r="60" spans="1:3" x14ac:dyDescent="0.25">
      <c r="A60" s="30" t="s">
        <v>95</v>
      </c>
      <c r="B60" s="23">
        <v>3510843.25</v>
      </c>
      <c r="C60" s="39">
        <f t="shared" si="2"/>
        <v>1.4084373083845384E-2</v>
      </c>
    </row>
    <row r="61" spans="1:3" x14ac:dyDescent="0.25">
      <c r="A61" s="30" t="s">
        <v>94</v>
      </c>
      <c r="B61" s="23">
        <v>259217.25</v>
      </c>
      <c r="C61" s="39">
        <f t="shared" si="2"/>
        <v>1.0398961727409561E-3</v>
      </c>
    </row>
    <row r="62" spans="1:3" x14ac:dyDescent="0.25">
      <c r="A62" s="29" t="s">
        <v>93</v>
      </c>
      <c r="B62" s="26">
        <v>6643356.8499999996</v>
      </c>
      <c r="C62" s="38">
        <f t="shared" ref="C62:C125" si="3">B62/$B$3</f>
        <v>2.665100938485928E-2</v>
      </c>
    </row>
    <row r="63" spans="1:3" x14ac:dyDescent="0.25">
      <c r="A63" s="31" t="s">
        <v>92</v>
      </c>
      <c r="B63" s="26">
        <v>1501796.07</v>
      </c>
      <c r="C63" s="38">
        <f t="shared" si="3"/>
        <v>6.0247224497228065E-3</v>
      </c>
    </row>
    <row r="64" spans="1:3" x14ac:dyDescent="0.25">
      <c r="A64" s="32" t="s">
        <v>91</v>
      </c>
      <c r="B64" s="23">
        <v>222077.61</v>
      </c>
      <c r="C64" s="39">
        <f t="shared" si="3"/>
        <v>8.9090389119728217E-4</v>
      </c>
    </row>
    <row r="65" spans="1:3" x14ac:dyDescent="0.25">
      <c r="A65" s="32" t="s">
        <v>90</v>
      </c>
      <c r="B65" s="23">
        <v>91594.01</v>
      </c>
      <c r="C65" s="39">
        <f t="shared" si="3"/>
        <v>3.6744568675501672E-4</v>
      </c>
    </row>
    <row r="66" spans="1:3" x14ac:dyDescent="0.25">
      <c r="A66" s="32" t="s">
        <v>157</v>
      </c>
      <c r="B66" s="23">
        <v>63559.32</v>
      </c>
      <c r="C66" s="39">
        <f t="shared" si="3"/>
        <v>2.5497953400098841E-4</v>
      </c>
    </row>
    <row r="67" spans="1:3" x14ac:dyDescent="0.25">
      <c r="A67" s="32" t="s">
        <v>158</v>
      </c>
      <c r="B67" s="23">
        <v>5600</v>
      </c>
      <c r="C67" s="39">
        <f t="shared" si="3"/>
        <v>2.2465397527939805E-5</v>
      </c>
    </row>
    <row r="68" spans="1:3" x14ac:dyDescent="0.25">
      <c r="A68" s="32" t="s">
        <v>89</v>
      </c>
      <c r="B68" s="23">
        <v>423747.69</v>
      </c>
      <c r="C68" s="39">
        <f t="shared" si="3"/>
        <v>1.6999393406064648E-3</v>
      </c>
    </row>
    <row r="69" spans="1:3" x14ac:dyDescent="0.25">
      <c r="A69" s="32" t="s">
        <v>88</v>
      </c>
      <c r="B69" s="23">
        <v>204649.88</v>
      </c>
      <c r="C69" s="39">
        <f t="shared" si="3"/>
        <v>8.2098944790092462E-4</v>
      </c>
    </row>
    <row r="70" spans="1:3" x14ac:dyDescent="0.25">
      <c r="A70" s="32" t="s">
        <v>87</v>
      </c>
      <c r="B70" s="23">
        <v>3600</v>
      </c>
      <c r="C70" s="39">
        <f t="shared" si="3"/>
        <v>1.4442041267961303E-5</v>
      </c>
    </row>
    <row r="71" spans="1:3" x14ac:dyDescent="0.25">
      <c r="A71" s="32" t="s">
        <v>86</v>
      </c>
      <c r="B71" s="23">
        <v>15959.34</v>
      </c>
      <c r="C71" s="39">
        <f t="shared" si="3"/>
        <v>6.4023735247062649E-5</v>
      </c>
    </row>
    <row r="72" spans="1:3" x14ac:dyDescent="0.25">
      <c r="A72" s="32" t="s">
        <v>85</v>
      </c>
      <c r="B72" s="23">
        <v>96861.9</v>
      </c>
      <c r="C72" s="39">
        <f t="shared" si="3"/>
        <v>3.885787658592058E-4</v>
      </c>
    </row>
    <row r="73" spans="1:3" x14ac:dyDescent="0.25">
      <c r="A73" s="32" t="s">
        <v>84</v>
      </c>
      <c r="B73" s="23">
        <v>244810.41</v>
      </c>
      <c r="C73" s="39">
        <f t="shared" si="3"/>
        <v>9.821005677907019E-4</v>
      </c>
    </row>
    <row r="74" spans="1:3" x14ac:dyDescent="0.25">
      <c r="A74" s="32" t="s">
        <v>83</v>
      </c>
      <c r="B74" s="23">
        <v>42851</v>
      </c>
      <c r="C74" s="39">
        <f t="shared" si="3"/>
        <v>1.7190441954816939E-4</v>
      </c>
    </row>
    <row r="75" spans="1:3" ht="24" x14ac:dyDescent="0.25">
      <c r="A75" s="32" t="s">
        <v>82</v>
      </c>
      <c r="B75" s="23">
        <v>86484.91</v>
      </c>
      <c r="C75" s="39">
        <f t="shared" si="3"/>
        <v>3.469496220210887E-4</v>
      </c>
    </row>
    <row r="76" spans="1:3" x14ac:dyDescent="0.25">
      <c r="A76" s="30" t="s">
        <v>81</v>
      </c>
      <c r="B76" s="23">
        <v>115273.65</v>
      </c>
      <c r="C76" s="39">
        <f t="shared" si="3"/>
        <v>4.6244078066903538E-4</v>
      </c>
    </row>
    <row r="77" spans="1:3" x14ac:dyDescent="0.25">
      <c r="A77" s="30" t="s">
        <v>80</v>
      </c>
      <c r="B77" s="23">
        <v>48770.25</v>
      </c>
      <c r="C77" s="39">
        <f t="shared" si="3"/>
        <v>1.9565054531910827E-4</v>
      </c>
    </row>
    <row r="78" spans="1:3" x14ac:dyDescent="0.25">
      <c r="A78" s="30" t="s">
        <v>79</v>
      </c>
      <c r="B78" s="23">
        <v>3898386.28</v>
      </c>
      <c r="C78" s="39">
        <f t="shared" si="3"/>
        <v>1.5639070981726153E-2</v>
      </c>
    </row>
    <row r="79" spans="1:3" x14ac:dyDescent="0.25">
      <c r="A79" s="30" t="s">
        <v>78</v>
      </c>
      <c r="B79" s="23">
        <v>813559.32</v>
      </c>
      <c r="C79" s="39">
        <f t="shared" si="3"/>
        <v>3.2637381314929263E-3</v>
      </c>
    </row>
    <row r="80" spans="1:3" x14ac:dyDescent="0.25">
      <c r="A80" s="31" t="s">
        <v>77</v>
      </c>
      <c r="B80" s="26">
        <v>24979.51</v>
      </c>
      <c r="C80" s="38">
        <f t="shared" si="3"/>
        <v>1.0020975396484779E-4</v>
      </c>
    </row>
    <row r="81" spans="1:3" x14ac:dyDescent="0.25">
      <c r="A81" s="32" t="s">
        <v>76</v>
      </c>
      <c r="B81" s="23">
        <v>17510.189999999999</v>
      </c>
      <c r="C81" s="39">
        <f t="shared" si="3"/>
        <v>7.0245246274956472E-5</v>
      </c>
    </row>
    <row r="82" spans="1:3" x14ac:dyDescent="0.25">
      <c r="A82" s="32" t="s">
        <v>75</v>
      </c>
      <c r="B82" s="33">
        <v>689.5</v>
      </c>
      <c r="C82" s="39">
        <f t="shared" si="3"/>
        <v>2.7660520706275884E-6</v>
      </c>
    </row>
    <row r="83" spans="1:3" x14ac:dyDescent="0.25">
      <c r="A83" s="32" t="s">
        <v>74</v>
      </c>
      <c r="B83" s="33">
        <v>430</v>
      </c>
      <c r="C83" s="39">
        <f t="shared" si="3"/>
        <v>1.7250215958953779E-6</v>
      </c>
    </row>
    <row r="84" spans="1:3" x14ac:dyDescent="0.25">
      <c r="A84" s="32" t="s">
        <v>73</v>
      </c>
      <c r="B84" s="23">
        <v>6349.82</v>
      </c>
      <c r="C84" s="39">
        <f t="shared" si="3"/>
        <v>2.5473434023368343E-5</v>
      </c>
    </row>
    <row r="85" spans="1:3" x14ac:dyDescent="0.25">
      <c r="A85" s="30" t="s">
        <v>72</v>
      </c>
      <c r="B85" s="23">
        <v>23782.41</v>
      </c>
      <c r="C85" s="39">
        <f t="shared" si="3"/>
        <v>9.5407374075437662E-5</v>
      </c>
    </row>
    <row r="86" spans="1:3" x14ac:dyDescent="0.25">
      <c r="A86" s="30" t="s">
        <v>71</v>
      </c>
      <c r="B86" s="23">
        <v>216809.36</v>
      </c>
      <c r="C86" s="39">
        <f t="shared" si="3"/>
        <v>8.697693678889662E-4</v>
      </c>
    </row>
    <row r="87" spans="1:3" x14ac:dyDescent="0.25">
      <c r="A87" s="34" t="s">
        <v>70</v>
      </c>
      <c r="B87" s="23">
        <v>1392739</v>
      </c>
      <c r="C87" s="39">
        <f t="shared" si="3"/>
        <v>5.5872205870830995E-3</v>
      </c>
    </row>
    <row r="88" spans="1:3" x14ac:dyDescent="0.25">
      <c r="A88" s="27" t="s">
        <v>69</v>
      </c>
      <c r="B88" s="26">
        <v>368028.64</v>
      </c>
      <c r="C88" s="38">
        <f t="shared" si="3"/>
        <v>1.4764124462976873E-3</v>
      </c>
    </row>
    <row r="89" spans="1:3" x14ac:dyDescent="0.25">
      <c r="A89" s="28" t="s">
        <v>68</v>
      </c>
      <c r="B89" s="23">
        <v>28104.58</v>
      </c>
      <c r="C89" s="39">
        <f t="shared" si="3"/>
        <v>1.1274652893853331E-4</v>
      </c>
    </row>
    <row r="90" spans="1:3" x14ac:dyDescent="0.25">
      <c r="A90" s="28" t="s">
        <v>67</v>
      </c>
      <c r="B90" s="23">
        <v>190000.91</v>
      </c>
      <c r="C90" s="39">
        <f t="shared" si="3"/>
        <v>7.6222249532505594E-4</v>
      </c>
    </row>
    <row r="91" spans="1:3" x14ac:dyDescent="0.25">
      <c r="A91" s="28" t="s">
        <v>66</v>
      </c>
      <c r="B91" s="23">
        <v>149923.15</v>
      </c>
      <c r="C91" s="39">
        <f t="shared" si="3"/>
        <v>6.01443422034098E-4</v>
      </c>
    </row>
    <row r="92" spans="1:3" x14ac:dyDescent="0.25">
      <c r="A92" s="27" t="s">
        <v>65</v>
      </c>
      <c r="B92" s="26">
        <v>6225081.1500000004</v>
      </c>
      <c r="C92" s="38">
        <f t="shared" si="3"/>
        <v>2.4973021906863336E-2</v>
      </c>
    </row>
    <row r="93" spans="1:3" x14ac:dyDescent="0.25">
      <c r="A93" s="28" t="s">
        <v>64</v>
      </c>
      <c r="B93" s="23">
        <v>183093.23</v>
      </c>
      <c r="C93" s="39">
        <f t="shared" si="3"/>
        <v>7.3451110654009183E-4</v>
      </c>
    </row>
    <row r="94" spans="1:3" x14ac:dyDescent="0.25">
      <c r="A94" s="29" t="s">
        <v>63</v>
      </c>
      <c r="B94" s="26">
        <v>1364895.48</v>
      </c>
      <c r="C94" s="38">
        <f t="shared" si="3"/>
        <v>5.4755213468371811E-3</v>
      </c>
    </row>
    <row r="95" spans="1:3" x14ac:dyDescent="0.25">
      <c r="A95" s="30" t="s">
        <v>62</v>
      </c>
      <c r="B95" s="23">
        <v>1364895.48</v>
      </c>
      <c r="C95" s="39">
        <f t="shared" si="3"/>
        <v>5.4755213468371811E-3</v>
      </c>
    </row>
    <row r="96" spans="1:3" x14ac:dyDescent="0.25">
      <c r="A96" s="28" t="s">
        <v>61</v>
      </c>
      <c r="B96" s="23">
        <v>271201.08</v>
      </c>
      <c r="C96" s="39">
        <f t="shared" si="3"/>
        <v>1.0879714414654654E-3</v>
      </c>
    </row>
    <row r="97" spans="1:3" x14ac:dyDescent="0.25">
      <c r="A97" s="28" t="s">
        <v>60</v>
      </c>
      <c r="B97" s="23">
        <v>255703.11</v>
      </c>
      <c r="C97" s="39">
        <f t="shared" si="3"/>
        <v>1.0257985741572357E-3</v>
      </c>
    </row>
    <row r="98" spans="1:3" x14ac:dyDescent="0.25">
      <c r="A98" s="28" t="s">
        <v>59</v>
      </c>
      <c r="B98" s="23">
        <v>241966.31</v>
      </c>
      <c r="C98" s="39">
        <f t="shared" si="3"/>
        <v>9.7069095402119935E-4</v>
      </c>
    </row>
    <row r="99" spans="1:3" x14ac:dyDescent="0.25">
      <c r="A99" s="28" t="s">
        <v>159</v>
      </c>
      <c r="B99" s="23">
        <v>361157.93</v>
      </c>
      <c r="C99" s="39">
        <f t="shared" si="3"/>
        <v>1.4488493692531887E-3</v>
      </c>
    </row>
    <row r="100" spans="1:3" x14ac:dyDescent="0.25">
      <c r="A100" s="29" t="s">
        <v>58</v>
      </c>
      <c r="B100" s="26">
        <v>934535.65</v>
      </c>
      <c r="C100" s="38">
        <f t="shared" si="3"/>
        <v>3.7490562288002892E-3</v>
      </c>
    </row>
    <row r="101" spans="1:3" ht="24" x14ac:dyDescent="0.25">
      <c r="A101" s="30" t="s">
        <v>57</v>
      </c>
      <c r="B101" s="23">
        <v>201530.04</v>
      </c>
      <c r="C101" s="39">
        <f t="shared" si="3"/>
        <v>8.0847365400385897E-4</v>
      </c>
    </row>
    <row r="102" spans="1:3" x14ac:dyDescent="0.25">
      <c r="A102" s="30" t="s">
        <v>56</v>
      </c>
      <c r="B102" s="23">
        <v>96869.53</v>
      </c>
      <c r="C102" s="39">
        <f t="shared" si="3"/>
        <v>3.8860937496333766E-4</v>
      </c>
    </row>
    <row r="103" spans="1:3" x14ac:dyDescent="0.25">
      <c r="A103" s="30" t="s">
        <v>55</v>
      </c>
      <c r="B103" s="23">
        <v>450047.86</v>
      </c>
      <c r="C103" s="39">
        <f t="shared" si="3"/>
        <v>1.8054471574104642E-3</v>
      </c>
    </row>
    <row r="104" spans="1:3" x14ac:dyDescent="0.25">
      <c r="A104" s="30" t="s">
        <v>54</v>
      </c>
      <c r="B104" s="23">
        <v>187648.46</v>
      </c>
      <c r="C104" s="39">
        <f t="shared" si="3"/>
        <v>7.5278522310816276E-4</v>
      </c>
    </row>
    <row r="105" spans="1:3" x14ac:dyDescent="0.25">
      <c r="A105" s="30" t="s">
        <v>160</v>
      </c>
      <c r="B105" s="35">
        <v>-1560.24</v>
      </c>
      <c r="C105" s="39">
        <f t="shared" si="3"/>
        <v>-6.2591806855344289E-6</v>
      </c>
    </row>
    <row r="106" spans="1:3" x14ac:dyDescent="0.25">
      <c r="A106" s="28" t="s">
        <v>53</v>
      </c>
      <c r="B106" s="23">
        <v>14406.78</v>
      </c>
      <c r="C106" s="39">
        <f t="shared" si="3"/>
        <v>5.7795364249566542E-5</v>
      </c>
    </row>
    <row r="107" spans="1:3" x14ac:dyDescent="0.25">
      <c r="A107" s="28" t="s">
        <v>52</v>
      </c>
      <c r="B107" s="23">
        <v>434041.97</v>
      </c>
      <c r="C107" s="39">
        <f t="shared" si="3"/>
        <v>1.7412366785464505E-3</v>
      </c>
    </row>
    <row r="108" spans="1:3" x14ac:dyDescent="0.25">
      <c r="A108" s="28" t="s">
        <v>51</v>
      </c>
      <c r="B108" s="23">
        <v>33050</v>
      </c>
      <c r="C108" s="39">
        <f t="shared" si="3"/>
        <v>1.3258596219614473E-4</v>
      </c>
    </row>
    <row r="109" spans="1:3" x14ac:dyDescent="0.25">
      <c r="A109" s="28" t="s">
        <v>50</v>
      </c>
      <c r="B109" s="23">
        <v>196790.39999999999</v>
      </c>
      <c r="C109" s="39">
        <f t="shared" si="3"/>
        <v>7.8945974387183669E-4</v>
      </c>
    </row>
    <row r="110" spans="1:3" x14ac:dyDescent="0.25">
      <c r="A110" s="28" t="s">
        <v>49</v>
      </c>
      <c r="B110" s="23">
        <v>936328.6</v>
      </c>
      <c r="C110" s="39">
        <f t="shared" si="3"/>
        <v>3.7562489671034531E-3</v>
      </c>
    </row>
    <row r="111" spans="1:3" x14ac:dyDescent="0.25">
      <c r="A111" s="28" t="s">
        <v>48</v>
      </c>
      <c r="B111" s="23">
        <v>758438.99</v>
      </c>
      <c r="C111" s="39">
        <f t="shared" si="3"/>
        <v>3.0426131091141361E-3</v>
      </c>
    </row>
    <row r="112" spans="1:3" x14ac:dyDescent="0.25">
      <c r="A112" s="28" t="s">
        <v>47</v>
      </c>
      <c r="B112" s="23">
        <v>239471.62</v>
      </c>
      <c r="C112" s="39">
        <f t="shared" si="3"/>
        <v>9.6068306070709651E-4</v>
      </c>
    </row>
    <row r="113" spans="1:3" x14ac:dyDescent="0.25">
      <c r="A113" s="27" t="s">
        <v>46</v>
      </c>
      <c r="B113" s="26">
        <v>14098533.310000001</v>
      </c>
      <c r="C113" s="38">
        <f t="shared" si="3"/>
        <v>5.655877774465197E-2</v>
      </c>
    </row>
    <row r="114" spans="1:3" x14ac:dyDescent="0.25">
      <c r="A114" s="28" t="s">
        <v>45</v>
      </c>
      <c r="B114" s="23">
        <v>172800</v>
      </c>
      <c r="C114" s="39">
        <f t="shared" si="3"/>
        <v>6.9321798086214258E-4</v>
      </c>
    </row>
    <row r="115" spans="1:3" x14ac:dyDescent="0.25">
      <c r="A115" s="29" t="s">
        <v>161</v>
      </c>
      <c r="B115" s="26">
        <v>4000</v>
      </c>
      <c r="C115" s="38">
        <f t="shared" si="3"/>
        <v>1.6046712519957005E-5</v>
      </c>
    </row>
    <row r="116" spans="1:3" x14ac:dyDescent="0.25">
      <c r="A116" s="30" t="s">
        <v>162</v>
      </c>
      <c r="B116" s="23">
        <v>4000</v>
      </c>
      <c r="C116" s="39">
        <f t="shared" si="3"/>
        <v>1.6046712519957005E-5</v>
      </c>
    </row>
    <row r="117" spans="1:3" x14ac:dyDescent="0.25">
      <c r="A117" s="28" t="s">
        <v>44</v>
      </c>
      <c r="B117" s="23">
        <v>136156.6</v>
      </c>
      <c r="C117" s="39">
        <f t="shared" si="3"/>
        <v>5.4621645447369444E-4</v>
      </c>
    </row>
    <row r="118" spans="1:3" x14ac:dyDescent="0.25">
      <c r="A118" s="29" t="s">
        <v>43</v>
      </c>
      <c r="B118" s="26">
        <v>1405866.69</v>
      </c>
      <c r="C118" s="38">
        <f t="shared" si="3"/>
        <v>5.639884653953378E-3</v>
      </c>
    </row>
    <row r="119" spans="1:3" ht="24" x14ac:dyDescent="0.25">
      <c r="A119" s="30" t="s">
        <v>42</v>
      </c>
      <c r="B119" s="23">
        <v>179275.2</v>
      </c>
      <c r="C119" s="39">
        <f t="shared" si="3"/>
        <v>7.1919439908944903E-4</v>
      </c>
    </row>
    <row r="120" spans="1:3" x14ac:dyDescent="0.25">
      <c r="A120" s="30" t="s">
        <v>41</v>
      </c>
      <c r="B120" s="23">
        <v>45041.82</v>
      </c>
      <c r="C120" s="39">
        <f t="shared" si="3"/>
        <v>1.8069328422891243E-4</v>
      </c>
    </row>
    <row r="121" spans="1:3" x14ac:dyDescent="0.25">
      <c r="A121" s="30" t="s">
        <v>40</v>
      </c>
      <c r="B121" s="23">
        <v>1181549.67</v>
      </c>
      <c r="C121" s="39">
        <f t="shared" si="3"/>
        <v>4.7399969706350166E-3</v>
      </c>
    </row>
    <row r="122" spans="1:3" x14ac:dyDescent="0.25">
      <c r="A122" s="28" t="s">
        <v>39</v>
      </c>
      <c r="B122" s="23">
        <v>353364.09</v>
      </c>
      <c r="C122" s="39">
        <f t="shared" si="3"/>
        <v>1.4175829917765534E-3</v>
      </c>
    </row>
    <row r="123" spans="1:3" x14ac:dyDescent="0.25">
      <c r="A123" s="29" t="s">
        <v>38</v>
      </c>
      <c r="B123" s="26">
        <v>1432925.16</v>
      </c>
      <c r="C123" s="38">
        <f t="shared" si="3"/>
        <v>5.7484345262833478E-3</v>
      </c>
    </row>
    <row r="124" spans="1:3" x14ac:dyDescent="0.25">
      <c r="A124" s="30" t="s">
        <v>163</v>
      </c>
      <c r="B124" s="23">
        <v>2450</v>
      </c>
      <c r="C124" s="39">
        <f t="shared" si="3"/>
        <v>9.8286114184736641E-6</v>
      </c>
    </row>
    <row r="125" spans="1:3" x14ac:dyDescent="0.25">
      <c r="A125" s="30" t="s">
        <v>37</v>
      </c>
      <c r="B125" s="23">
        <v>820601.06</v>
      </c>
      <c r="C125" s="39">
        <f t="shared" si="3"/>
        <v>3.2919873258479971E-3</v>
      </c>
    </row>
    <row r="126" spans="1:3" x14ac:dyDescent="0.25">
      <c r="A126" s="30" t="s">
        <v>36</v>
      </c>
      <c r="B126" s="23">
        <v>39024.239999999998</v>
      </c>
      <c r="C126" s="39">
        <f t="shared" ref="C126:C150" si="4">B126/$B$3</f>
        <v>1.5655269014745171E-4</v>
      </c>
    </row>
    <row r="127" spans="1:3" x14ac:dyDescent="0.25">
      <c r="A127" s="30" t="s">
        <v>35</v>
      </c>
      <c r="B127" s="23">
        <v>253937.85</v>
      </c>
      <c r="C127" s="39">
        <f t="shared" si="4"/>
        <v>1.0187169192214908E-3</v>
      </c>
    </row>
    <row r="128" spans="1:3" x14ac:dyDescent="0.25">
      <c r="A128" s="30" t="s">
        <v>34</v>
      </c>
      <c r="B128" s="23">
        <v>125300</v>
      </c>
      <c r="C128" s="39">
        <f t="shared" si="4"/>
        <v>5.0266326968765316E-4</v>
      </c>
    </row>
    <row r="129" spans="1:3" x14ac:dyDescent="0.25">
      <c r="A129" s="30" t="s">
        <v>33</v>
      </c>
      <c r="B129" s="23">
        <v>179079.02</v>
      </c>
      <c r="C129" s="39">
        <f t="shared" si="4"/>
        <v>7.1840738807390765E-4</v>
      </c>
    </row>
    <row r="130" spans="1:3" x14ac:dyDescent="0.25">
      <c r="A130" s="30" t="s">
        <v>164</v>
      </c>
      <c r="B130" s="23">
        <v>12532.99</v>
      </c>
      <c r="C130" s="39">
        <f t="shared" si="4"/>
        <v>5.0278321886373982E-5</v>
      </c>
    </row>
    <row r="131" spans="1:3" x14ac:dyDescent="0.25">
      <c r="A131" s="28" t="s">
        <v>32</v>
      </c>
      <c r="B131" s="23">
        <v>19300</v>
      </c>
      <c r="C131" s="39">
        <f t="shared" si="4"/>
        <v>7.7425387908792542E-5</v>
      </c>
    </row>
    <row r="132" spans="1:3" x14ac:dyDescent="0.25">
      <c r="A132" s="29" t="s">
        <v>31</v>
      </c>
      <c r="B132" s="26">
        <v>6992828.1699999999</v>
      </c>
      <c r="C132" s="38">
        <f t="shared" si="4"/>
        <v>2.8052975836361755E-2</v>
      </c>
    </row>
    <row r="133" spans="1:3" x14ac:dyDescent="0.25">
      <c r="A133" s="30" t="s">
        <v>30</v>
      </c>
      <c r="B133" s="23">
        <v>2308114</v>
      </c>
      <c r="C133" s="39">
        <f t="shared" si="4"/>
        <v>9.2594104553220102E-3</v>
      </c>
    </row>
    <row r="134" spans="1:3" ht="24" x14ac:dyDescent="0.25">
      <c r="A134" s="30" t="s">
        <v>29</v>
      </c>
      <c r="B134" s="23">
        <v>3928196.02</v>
      </c>
      <c r="C134" s="39">
        <f t="shared" si="4"/>
        <v>1.5758658063744817E-2</v>
      </c>
    </row>
    <row r="135" spans="1:3" ht="24" x14ac:dyDescent="0.25">
      <c r="A135" s="30" t="s">
        <v>28</v>
      </c>
      <c r="B135" s="23">
        <v>231399.7</v>
      </c>
      <c r="C135" s="39">
        <f t="shared" si="4"/>
        <v>9.2830111577607371E-4</v>
      </c>
    </row>
    <row r="136" spans="1:3" ht="24" x14ac:dyDescent="0.25">
      <c r="A136" s="30" t="s">
        <v>27</v>
      </c>
      <c r="B136" s="23">
        <v>21974.22</v>
      </c>
      <c r="C136" s="39">
        <f t="shared" si="4"/>
        <v>8.8153497797572404E-5</v>
      </c>
    </row>
    <row r="137" spans="1:3" x14ac:dyDescent="0.25">
      <c r="A137" s="30" t="s">
        <v>26</v>
      </c>
      <c r="B137" s="23">
        <v>369198</v>
      </c>
      <c r="C137" s="39">
        <f t="shared" si="4"/>
        <v>1.4811035422357714E-3</v>
      </c>
    </row>
    <row r="138" spans="1:3" x14ac:dyDescent="0.25">
      <c r="A138" s="30" t="s">
        <v>25</v>
      </c>
      <c r="B138" s="23">
        <v>133946.23000000001</v>
      </c>
      <c r="C138" s="39">
        <f t="shared" si="4"/>
        <v>5.3734916148551019E-4</v>
      </c>
    </row>
    <row r="139" spans="1:3" x14ac:dyDescent="0.25">
      <c r="A139" s="29" t="s">
        <v>24</v>
      </c>
      <c r="B139" s="26">
        <v>2230985.94</v>
      </c>
      <c r="C139" s="38">
        <f t="shared" si="4"/>
        <v>8.9499975038115111E-3</v>
      </c>
    </row>
    <row r="140" spans="1:3" x14ac:dyDescent="0.25">
      <c r="A140" s="30" t="s">
        <v>23</v>
      </c>
      <c r="B140" s="23">
        <v>7667.34</v>
      </c>
      <c r="C140" s="39">
        <f t="shared" si="4"/>
        <v>3.0758900193191784E-5</v>
      </c>
    </row>
    <row r="141" spans="1:3" x14ac:dyDescent="0.25">
      <c r="A141" s="30" t="s">
        <v>22</v>
      </c>
      <c r="B141" s="23">
        <v>264519.44</v>
      </c>
      <c r="C141" s="39">
        <f t="shared" si="4"/>
        <v>1.0611668524050039E-3</v>
      </c>
    </row>
    <row r="142" spans="1:3" x14ac:dyDescent="0.25">
      <c r="A142" s="30" t="s">
        <v>21</v>
      </c>
      <c r="B142" s="23">
        <v>1828508.39</v>
      </c>
      <c r="C142" s="39">
        <f t="shared" si="4"/>
        <v>7.3353871186648554E-3</v>
      </c>
    </row>
    <row r="143" spans="1:3" x14ac:dyDescent="0.25">
      <c r="A143" s="30" t="s">
        <v>20</v>
      </c>
      <c r="B143" s="23">
        <v>130290.77</v>
      </c>
      <c r="C143" s="39">
        <f t="shared" si="4"/>
        <v>5.2268463254845961E-4</v>
      </c>
    </row>
    <row r="144" spans="1:3" x14ac:dyDescent="0.25">
      <c r="A144" s="28" t="s">
        <v>19</v>
      </c>
      <c r="B144" s="23">
        <v>120020.53</v>
      </c>
      <c r="C144" s="39">
        <f t="shared" si="4"/>
        <v>4.8148373535071879E-4</v>
      </c>
    </row>
    <row r="145" spans="1:3" x14ac:dyDescent="0.25">
      <c r="A145" s="28" t="s">
        <v>165</v>
      </c>
      <c r="B145" s="23">
        <v>63613.55</v>
      </c>
      <c r="C145" s="39">
        <f t="shared" si="4"/>
        <v>2.5519708730597774E-4</v>
      </c>
    </row>
    <row r="146" spans="1:3" x14ac:dyDescent="0.25">
      <c r="A146" s="29" t="s">
        <v>18</v>
      </c>
      <c r="B146" s="26">
        <v>256672.58</v>
      </c>
      <c r="C146" s="38">
        <f t="shared" si="4"/>
        <v>1.0296877757539164E-3</v>
      </c>
    </row>
    <row r="147" spans="1:3" ht="24" x14ac:dyDescent="0.25">
      <c r="A147" s="30" t="s">
        <v>17</v>
      </c>
      <c r="B147" s="23">
        <v>196763.94</v>
      </c>
      <c r="C147" s="39">
        <f t="shared" si="4"/>
        <v>7.893535948685172E-4</v>
      </c>
    </row>
    <row r="148" spans="1:3" x14ac:dyDescent="0.25">
      <c r="A148" s="30" t="s">
        <v>16</v>
      </c>
      <c r="B148" s="23">
        <v>32233.34</v>
      </c>
      <c r="C148" s="39">
        <f t="shared" si="4"/>
        <v>1.2930978513450773E-4</v>
      </c>
    </row>
    <row r="149" spans="1:3" x14ac:dyDescent="0.25">
      <c r="A149" s="30" t="s">
        <v>15</v>
      </c>
      <c r="B149" s="23">
        <v>27675.3</v>
      </c>
      <c r="C149" s="39">
        <f t="shared" si="4"/>
        <v>1.1102439575089152E-4</v>
      </c>
    </row>
    <row r="150" spans="1:3" x14ac:dyDescent="0.25">
      <c r="A150" s="28" t="s">
        <v>14</v>
      </c>
      <c r="B150" s="23">
        <v>910000</v>
      </c>
      <c r="C150" s="39">
        <f t="shared" si="4"/>
        <v>3.6506270982902185E-3</v>
      </c>
    </row>
    <row r="151" spans="1:3" x14ac:dyDescent="0.25">
      <c r="A151" s="36" t="s">
        <v>13</v>
      </c>
      <c r="B151" s="37">
        <v>249272241.59</v>
      </c>
      <c r="C151" s="37">
        <v>249272241.59</v>
      </c>
    </row>
    <row r="152" spans="1:3" ht="15.75" thickBot="1" x14ac:dyDescent="0.3"/>
    <row r="153" spans="1:3" ht="15.75" x14ac:dyDescent="0.25">
      <c r="A153" s="3" t="s">
        <v>2</v>
      </c>
      <c r="B153" s="4" t="s">
        <v>3</v>
      </c>
    </row>
    <row r="154" spans="1:3" ht="16.5" thickBot="1" x14ac:dyDescent="0.3">
      <c r="A154" s="5" t="s">
        <v>4</v>
      </c>
      <c r="B154" s="6">
        <f>SUM(B155:B162)</f>
        <v>0.99999999999999956</v>
      </c>
      <c r="C154" s="40">
        <v>263297.99319000001</v>
      </c>
    </row>
    <row r="155" spans="1:3" ht="16.5" thickBot="1" x14ac:dyDescent="0.3">
      <c r="A155" s="8" t="s">
        <v>5</v>
      </c>
      <c r="B155" s="18">
        <f>C155/$C$154</f>
        <v>0.46706014926311484</v>
      </c>
      <c r="C155" s="40">
        <v>122976</v>
      </c>
    </row>
    <row r="156" spans="1:3" ht="16.5" thickBot="1" x14ac:dyDescent="0.3">
      <c r="A156" s="10" t="s">
        <v>6</v>
      </c>
      <c r="B156" s="18">
        <f>C156/$C$154</f>
        <v>0.1386717747356789</v>
      </c>
      <c r="C156" s="40">
        <v>36512</v>
      </c>
    </row>
    <row r="157" spans="1:3" ht="16.5" thickBot="1" x14ac:dyDescent="0.3">
      <c r="A157" s="10" t="s">
        <v>7</v>
      </c>
      <c r="B157" s="18">
        <f t="shared" ref="B157:B162" si="5">C157/$C$154</f>
        <v>6.0467608609956834E-2</v>
      </c>
      <c r="C157" s="40">
        <v>15921</v>
      </c>
    </row>
    <row r="158" spans="1:3" ht="32.25" thickBot="1" x14ac:dyDescent="0.3">
      <c r="A158" s="11" t="s">
        <v>8</v>
      </c>
      <c r="B158" s="18">
        <f t="shared" si="5"/>
        <v>0.11129215093885843</v>
      </c>
      <c r="C158" s="40">
        <v>29303</v>
      </c>
    </row>
    <row r="159" spans="1:3" ht="16.5" thickBot="1" x14ac:dyDescent="0.3">
      <c r="A159" s="10" t="s">
        <v>9</v>
      </c>
      <c r="B159" s="18">
        <f t="shared" si="5"/>
        <v>3.6266892444976939E-2</v>
      </c>
      <c r="C159" s="40">
        <v>9549</v>
      </c>
    </row>
    <row r="160" spans="1:3" ht="32.25" thickBot="1" x14ac:dyDescent="0.3">
      <c r="A160" s="13" t="s">
        <v>10</v>
      </c>
      <c r="B160" s="18">
        <f t="shared" si="5"/>
        <v>7.3437703666988582E-2</v>
      </c>
      <c r="C160" s="40">
        <v>19336</v>
      </c>
    </row>
    <row r="161" spans="1:3" ht="16.5" thickBot="1" x14ac:dyDescent="0.3">
      <c r="A161" s="14" t="s">
        <v>11</v>
      </c>
      <c r="B161" s="18">
        <f t="shared" si="5"/>
        <v>1.1313006847912163E-2</v>
      </c>
      <c r="C161" s="40">
        <v>2978.692</v>
      </c>
    </row>
    <row r="162" spans="1:3" ht="16.5" thickBot="1" x14ac:dyDescent="0.3">
      <c r="A162" s="17" t="s">
        <v>12</v>
      </c>
      <c r="B162" s="18">
        <f t="shared" si="5"/>
        <v>0.10149071349251289</v>
      </c>
      <c r="C162" s="40">
        <v>26722.3011899999</v>
      </c>
    </row>
    <row r="164" spans="1:3" ht="15.75" thickBot="1" x14ac:dyDescent="0.3">
      <c r="A164">
        <v>2021</v>
      </c>
    </row>
    <row r="165" spans="1:3" ht="15.75" x14ac:dyDescent="0.25">
      <c r="A165" s="3" t="s">
        <v>2</v>
      </c>
      <c r="B165" s="4" t="s">
        <v>3</v>
      </c>
    </row>
    <row r="166" spans="1:3" ht="16.5" thickBot="1" x14ac:dyDescent="0.3">
      <c r="A166" s="5" t="s">
        <v>4</v>
      </c>
      <c r="B166" s="6">
        <f>SUM(B167:B174)</f>
        <v>1.0000000000000002</v>
      </c>
      <c r="C166" s="40">
        <f>-([17]TDSheet!$O$17+[17]TDSheet!$O$20)/1000</f>
        <v>328526.62776999996</v>
      </c>
    </row>
    <row r="167" spans="1:3" ht="16.5" thickBot="1" x14ac:dyDescent="0.3">
      <c r="A167" s="8" t="s">
        <v>5</v>
      </c>
      <c r="B167" s="18">
        <f>C167/$C$166</f>
        <v>0.46940693555581009</v>
      </c>
      <c r="C167" s="40">
        <f>[18]Расходы!$L$6+[18]Расходы!$L$27</f>
        <v>154212.67758999998</v>
      </c>
    </row>
    <row r="168" spans="1:3" ht="16.5" thickBot="1" x14ac:dyDescent="0.3">
      <c r="A168" s="10" t="s">
        <v>6</v>
      </c>
      <c r="B168" s="18">
        <f t="shared" ref="B168:B174" si="6">C168/$C$166</f>
        <v>0.13862230744925533</v>
      </c>
      <c r="C168" s="40">
        <f>[18]Расходы!$L$7+[18]Расходы!$L$28</f>
        <v>45541.119200000001</v>
      </c>
    </row>
    <row r="169" spans="1:3" ht="16.5" thickBot="1" x14ac:dyDescent="0.3">
      <c r="A169" s="10" t="s">
        <v>7</v>
      </c>
      <c r="B169" s="18">
        <f t="shared" si="6"/>
        <v>6.2177657435734127E-2</v>
      </c>
      <c r="C169" s="40">
        <f>[18]ОПУ!$K$22</f>
        <v>20427.016119999997</v>
      </c>
    </row>
    <row r="170" spans="1:3" ht="32.25" thickBot="1" x14ac:dyDescent="0.3">
      <c r="A170" s="11" t="s">
        <v>8</v>
      </c>
      <c r="B170" s="18">
        <f t="shared" si="6"/>
        <v>9.4550657524621273E-2</v>
      </c>
      <c r="C170" s="40">
        <f>SUMIF(Лист1!$E:$E,свод!A170,Лист1!$C:$C)/1000</f>
        <v>31062.408670000001</v>
      </c>
    </row>
    <row r="171" spans="1:3" ht="16.5" thickBot="1" x14ac:dyDescent="0.3">
      <c r="A171" s="10" t="s">
        <v>9</v>
      </c>
      <c r="B171" s="18">
        <f t="shared" si="6"/>
        <v>5.4912977716466832E-2</v>
      </c>
      <c r="C171" s="40">
        <f>SUMIF(Лист1!$E:$E,свод!A171,Лист1!$C:$C)/1000</f>
        <v>18040.375390000001</v>
      </c>
    </row>
    <row r="172" spans="1:3" ht="32.25" thickBot="1" x14ac:dyDescent="0.3">
      <c r="A172" s="13" t="s">
        <v>10</v>
      </c>
      <c r="B172" s="18">
        <f t="shared" si="6"/>
        <v>6.9912446111004042E-2</v>
      </c>
      <c r="C172" s="40">
        <f>SUMIF(Лист1!$E:$E,свод!A172,Лист1!$C:$C)/1000</f>
        <v>22968.100160000005</v>
      </c>
    </row>
    <row r="173" spans="1:3" ht="16.5" thickBot="1" x14ac:dyDescent="0.3">
      <c r="A173" s="14" t="s">
        <v>11</v>
      </c>
      <c r="B173" s="18">
        <f t="shared" si="6"/>
        <v>1.3044848994707108E-2</v>
      </c>
      <c r="C173" s="40">
        <f>SUMIF(Лист1!$E:$E,свод!A173,Лист1!$C:$C)/1000</f>
        <v>4285.58025</v>
      </c>
    </row>
    <row r="174" spans="1:3" ht="16.5" thickBot="1" x14ac:dyDescent="0.3">
      <c r="A174" s="17" t="s">
        <v>12</v>
      </c>
      <c r="B174" s="18">
        <f t="shared" si="6"/>
        <v>9.7372169212401286E-2</v>
      </c>
      <c r="C174" s="40">
        <f>SUMIF(Лист1!$E:$E,свод!A174,Лист1!$C:$C)/1000+662.850050000008</f>
        <v>31989.350390000007</v>
      </c>
    </row>
    <row r="177" spans="1:3" x14ac:dyDescent="0.25">
      <c r="C177" s="45">
        <f>SUM(C167:C174)</f>
        <v>328526.62777000002</v>
      </c>
    </row>
    <row r="178" spans="1:3" x14ac:dyDescent="0.25">
      <c r="C178" s="46">
        <f>C166-C177</f>
        <v>0</v>
      </c>
    </row>
    <row r="180" spans="1:3" ht="15.75" thickBot="1" x14ac:dyDescent="0.3">
      <c r="A180">
        <v>2022</v>
      </c>
    </row>
    <row r="181" spans="1:3" ht="15.75" x14ac:dyDescent="0.25">
      <c r="A181" s="3" t="s">
        <v>2</v>
      </c>
      <c r="B181" s="4" t="s">
        <v>3</v>
      </c>
    </row>
    <row r="182" spans="1:3" ht="16.5" thickBot="1" x14ac:dyDescent="0.3">
      <c r="A182" s="5" t="s">
        <v>4</v>
      </c>
      <c r="B182" s="6" t="e">
        <f>SUM(B183:B190)</f>
        <v>#REF!</v>
      </c>
      <c r="C182" s="47">
        <f>-([19]TDSheet!$O$17+[19]TDSheet!$O$20)/1000</f>
        <v>422924.34127999999</v>
      </c>
    </row>
    <row r="183" spans="1:3" ht="16.5" thickBot="1" x14ac:dyDescent="0.3">
      <c r="A183" s="8" t="s">
        <v>5</v>
      </c>
      <c r="B183" s="18">
        <f>C183/$C$182</f>
        <v>0.46812988626001939</v>
      </c>
      <c r="C183" s="47">
        <f>[20]Расходы!$L$6+[20]Расходы!$L$27</f>
        <v>197983.52378000002</v>
      </c>
    </row>
    <row r="184" spans="1:3" ht="16.5" thickBot="1" x14ac:dyDescent="0.3">
      <c r="A184" s="10" t="s">
        <v>6</v>
      </c>
      <c r="B184" s="18">
        <f t="shared" ref="B184:B190" si="7">C184/$C$182</f>
        <v>0.13817735503975245</v>
      </c>
      <c r="C184" s="47">
        <f>[20]Расходы!$L$7+[20]Расходы!$L$28</f>
        <v>58438.566859999999</v>
      </c>
    </row>
    <row r="185" spans="1:3" ht="16.5" thickBot="1" x14ac:dyDescent="0.3">
      <c r="A185" s="10" t="s">
        <v>7</v>
      </c>
      <c r="B185" s="18">
        <f t="shared" si="7"/>
        <v>5.0843402663749371E-2</v>
      </c>
      <c r="C185" s="47">
        <f>[20]ОПУ!$K$22</f>
        <v>21502.91258</v>
      </c>
    </row>
    <row r="186" spans="1:3" ht="32.25" thickBot="1" x14ac:dyDescent="0.3">
      <c r="A186" s="11" t="s">
        <v>8</v>
      </c>
      <c r="B186" s="18" t="e">
        <f t="shared" si="7"/>
        <v>#REF!</v>
      </c>
      <c r="C186" s="40" t="e">
        <f>SUMIF(#REF!,свод!A186,#REF!)/1000</f>
        <v>#REF!</v>
      </c>
    </row>
    <row r="187" spans="1:3" ht="16.5" thickBot="1" x14ac:dyDescent="0.3">
      <c r="A187" s="10" t="s">
        <v>9</v>
      </c>
      <c r="B187" s="18" t="e">
        <f t="shared" si="7"/>
        <v>#REF!</v>
      </c>
      <c r="C187" s="40" t="e">
        <f>SUMIF(#REF!,свод!A187,#REF!)/1000</f>
        <v>#REF!</v>
      </c>
    </row>
    <row r="188" spans="1:3" ht="32.25" thickBot="1" x14ac:dyDescent="0.3">
      <c r="A188" s="13" t="s">
        <v>10</v>
      </c>
      <c r="B188" s="18" t="e">
        <f t="shared" si="7"/>
        <v>#REF!</v>
      </c>
      <c r="C188" s="40" t="e">
        <f>SUMIF(#REF!,свод!A188,#REF!)/1000</f>
        <v>#REF!</v>
      </c>
    </row>
    <row r="189" spans="1:3" ht="16.5" thickBot="1" x14ac:dyDescent="0.3">
      <c r="A189" s="14" t="s">
        <v>11</v>
      </c>
      <c r="B189" s="18" t="e">
        <f t="shared" si="7"/>
        <v>#REF!</v>
      </c>
      <c r="C189" s="40" t="e">
        <f>SUMIF(#REF!,свод!A189,#REF!)/1000</f>
        <v>#REF!</v>
      </c>
    </row>
    <row r="190" spans="1:3" ht="16.5" thickBot="1" x14ac:dyDescent="0.3">
      <c r="A190" s="17" t="s">
        <v>12</v>
      </c>
      <c r="B190" s="18" t="e">
        <f t="shared" si="7"/>
        <v>#REF!</v>
      </c>
      <c r="C190" s="40" t="e">
        <f>SUMIF(#REF!,свод!A190,#REF!)/1000+993.52</f>
        <v>#REF!</v>
      </c>
    </row>
    <row r="193" spans="1:3" x14ac:dyDescent="0.25">
      <c r="C193" s="45" t="e">
        <f>SUM(C183:C190)</f>
        <v>#REF!</v>
      </c>
    </row>
    <row r="194" spans="1:3" x14ac:dyDescent="0.25">
      <c r="C194" s="46" t="e">
        <f>C182-C193</f>
        <v>#REF!</v>
      </c>
    </row>
    <row r="196" spans="1:3" ht="15.75" thickBot="1" x14ac:dyDescent="0.3">
      <c r="A196">
        <v>2023</v>
      </c>
    </row>
    <row r="197" spans="1:3" ht="15.75" x14ac:dyDescent="0.25">
      <c r="A197" s="3" t="s">
        <v>2</v>
      </c>
      <c r="B197" s="4" t="s">
        <v>3</v>
      </c>
    </row>
    <row r="198" spans="1:3" ht="16.5" thickBot="1" x14ac:dyDescent="0.3">
      <c r="A198" s="5" t="s">
        <v>4</v>
      </c>
      <c r="B198" s="6">
        <f>SUM(B199:B206)</f>
        <v>0.99999999999999989</v>
      </c>
      <c r="C198" s="47">
        <f>-([21]Лист_1!$O$17+[21]Лист_1!$O$20)/1000</f>
        <v>502459.78677000001</v>
      </c>
    </row>
    <row r="199" spans="1:3" ht="15.75" x14ac:dyDescent="0.25">
      <c r="A199" s="8" t="s">
        <v>5</v>
      </c>
      <c r="B199" s="49">
        <f>C199/$C$198</f>
        <v>0.51862420976045898</v>
      </c>
      <c r="C199" s="47">
        <f>[22]Расходы!$L$6+[22]Расходы!$L$27</f>
        <v>260587.80984999999</v>
      </c>
    </row>
    <row r="200" spans="1:3" ht="15.75" x14ac:dyDescent="0.25">
      <c r="A200" s="10" t="s">
        <v>6</v>
      </c>
      <c r="B200" s="50">
        <f t="shared" ref="B200:B206" si="8">C200/$C$198</f>
        <v>0.14724469081516026</v>
      </c>
      <c r="C200" s="47">
        <f>[22]Расходы!$L$7+[22]Расходы!$L$28</f>
        <v>73984.535950000005</v>
      </c>
    </row>
    <row r="201" spans="1:3" ht="15.75" x14ac:dyDescent="0.25">
      <c r="A201" s="10" t="s">
        <v>7</v>
      </c>
      <c r="B201" s="50">
        <f t="shared" si="8"/>
        <v>4.150835419899368E-2</v>
      </c>
      <c r="C201" s="47">
        <f>[22]ОПУ!$K$22</f>
        <v>20856.2788</v>
      </c>
    </row>
    <row r="202" spans="1:3" ht="31.5" x14ac:dyDescent="0.25">
      <c r="A202" s="11" t="s">
        <v>8</v>
      </c>
      <c r="B202" s="51">
        <f t="shared" si="8"/>
        <v>8.5373381172961185E-2</v>
      </c>
      <c r="C202" s="48">
        <f>SUMIF('2023'!$D:$D,свод!A202,'2023'!$C:$C)/1000</f>
        <v>42896.690900000009</v>
      </c>
    </row>
    <row r="203" spans="1:3" ht="15.75" x14ac:dyDescent="0.25">
      <c r="A203" s="10" t="s">
        <v>9</v>
      </c>
      <c r="B203" s="50">
        <f t="shared" si="8"/>
        <v>3.4381075669857826E-2</v>
      </c>
      <c r="C203" s="48">
        <f>SUMIF('2023'!$D:$D,свод!A203,'2023'!$C:$C)/1000</f>
        <v>17275.107949999998</v>
      </c>
    </row>
    <row r="204" spans="1:3" ht="31.5" x14ac:dyDescent="0.25">
      <c r="A204" s="13" t="s">
        <v>10</v>
      </c>
      <c r="B204" s="52">
        <f t="shared" si="8"/>
        <v>6.109030911174345E-2</v>
      </c>
      <c r="C204" s="48">
        <f>SUMIF('2023'!$D:$D,свод!A204,'2023'!$C:$C)/1000</f>
        <v>30695.423690000003</v>
      </c>
    </row>
    <row r="205" spans="1:3" ht="15.75" x14ac:dyDescent="0.25">
      <c r="A205" s="14" t="s">
        <v>11</v>
      </c>
      <c r="B205" s="53">
        <f t="shared" si="8"/>
        <v>5.9095689290637715E-2</v>
      </c>
      <c r="C205" s="48">
        <f>SUMIF('2023'!$D:$D,свод!A205,'2023'!$C:$C)/1000</f>
        <v>29693.207439999998</v>
      </c>
    </row>
    <row r="206" spans="1:3" ht="16.5" thickBot="1" x14ac:dyDescent="0.3">
      <c r="A206" s="17" t="s">
        <v>12</v>
      </c>
      <c r="B206" s="54">
        <f t="shared" si="8"/>
        <v>5.2682289980186911E-2</v>
      </c>
      <c r="C206" s="48">
        <f>SUMIF('2023'!$D:$D,свод!A206,'2023'!$C:$C)/1000+2370.72048000002</f>
        <v>26470.732190000024</v>
      </c>
    </row>
    <row r="209" spans="3:3" x14ac:dyDescent="0.25">
      <c r="C209" s="45">
        <f>SUM(C199:C206)</f>
        <v>502459.78677000001</v>
      </c>
    </row>
    <row r="210" spans="3:3" x14ac:dyDescent="0.25">
      <c r="C210" s="46">
        <f>C198-C209</f>
        <v>0</v>
      </c>
    </row>
    <row r="211" spans="3:3" x14ac:dyDescent="0.25">
      <c r="C211">
        <v>2370.72048000002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opLeftCell="A70" workbookViewId="0">
      <selection activeCell="D48" sqref="D48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41" t="s">
        <v>166</v>
      </c>
      <c r="B2" s="42" t="s">
        <v>167</v>
      </c>
      <c r="C2" s="44">
        <v>2412841.38</v>
      </c>
      <c r="D2" t="str">
        <f>VLOOKUP(B2,'[23]статьи затрат'!$A:$B,2,0)</f>
        <v>Амортизация</v>
      </c>
    </row>
    <row r="3" spans="1:5" ht="15.75" thickBot="1" x14ac:dyDescent="0.3">
      <c r="A3" s="41" t="s">
        <v>166</v>
      </c>
      <c r="B3" s="42" t="s">
        <v>168</v>
      </c>
      <c r="C3" s="43">
        <v>1543802.76</v>
      </c>
      <c r="D3" t="str">
        <f>VLOOKUP(B3,'[23]статьи затрат'!$A:$B,2,0)</f>
        <v>Амортизация</v>
      </c>
    </row>
    <row r="4" spans="1:5" ht="15.75" thickBot="1" x14ac:dyDescent="0.3">
      <c r="A4" s="41" t="s">
        <v>166</v>
      </c>
      <c r="B4" s="42" t="s">
        <v>169</v>
      </c>
      <c r="C4" s="43">
        <v>38000.04</v>
      </c>
      <c r="D4" t="str">
        <f>VLOOKUP(B4,'[23]статьи затрат'!$A:$B,2,0)</f>
        <v>Амортизация</v>
      </c>
    </row>
    <row r="5" spans="1:5" ht="15.75" thickBot="1" x14ac:dyDescent="0.3">
      <c r="A5" s="41" t="s">
        <v>166</v>
      </c>
      <c r="B5" s="42" t="s">
        <v>170</v>
      </c>
      <c r="C5" s="43">
        <v>337870.46</v>
      </c>
      <c r="D5" t="str">
        <f>VLOOKUP(B5,'[23]статьи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41" t="s">
        <v>166</v>
      </c>
      <c r="B6" s="42" t="s">
        <v>171</v>
      </c>
      <c r="C6" s="43">
        <v>547887.01</v>
      </c>
      <c r="D6" t="str">
        <f>VLOOKUP(B6,'[23]статьи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41" t="s">
        <v>166</v>
      </c>
      <c r="B7" s="42" t="s">
        <v>172</v>
      </c>
      <c r="C7" s="43">
        <v>3154896.6</v>
      </c>
      <c r="D7" t="str">
        <f>VLOOKUP(B7,'[23]статьи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41" t="s">
        <v>166</v>
      </c>
      <c r="B8" s="42" t="s">
        <v>173</v>
      </c>
      <c r="C8" s="43">
        <v>14369715.949999999</v>
      </c>
      <c r="D8" t="str">
        <f>VLOOKUP(B8,'[23]статьи затрат'!$A:$B,2,0)</f>
        <v>Амортизация</v>
      </c>
    </row>
    <row r="9" spans="1:5" ht="15.75" thickBot="1" x14ac:dyDescent="0.3">
      <c r="A9" s="41" t="s">
        <v>166</v>
      </c>
      <c r="B9" s="42" t="s">
        <v>174</v>
      </c>
      <c r="C9" s="43">
        <v>11570.24</v>
      </c>
      <c r="D9" t="str">
        <f>VLOOKUP(B9,'[23]статьи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41" t="s">
        <v>166</v>
      </c>
      <c r="B10" s="42" t="s">
        <v>175</v>
      </c>
      <c r="C10" s="43">
        <v>232466.41</v>
      </c>
      <c r="D10" t="str">
        <f>VLOOKUP(B10,'[23]статьи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41" t="s">
        <v>166</v>
      </c>
      <c r="B11" s="42" t="s">
        <v>176</v>
      </c>
      <c r="C11" s="43">
        <v>78658.16</v>
      </c>
      <c r="D11" t="str">
        <f>VLOOKUP(B11,'[23]статьи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41" t="s">
        <v>166</v>
      </c>
      <c r="B12" s="42" t="s">
        <v>177</v>
      </c>
      <c r="C12" s="43">
        <v>7220</v>
      </c>
      <c r="D12" t="str">
        <f>VLOOKUP(B12,'[23]статьи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41" t="s">
        <v>166</v>
      </c>
      <c r="B13" s="42" t="s">
        <v>178</v>
      </c>
      <c r="C13" s="43">
        <v>2251.46</v>
      </c>
      <c r="D13" t="str">
        <f>VLOOKUP(B13,'[23]статьи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41" t="s">
        <v>166</v>
      </c>
      <c r="B14" s="42" t="s">
        <v>179</v>
      </c>
      <c r="C14" s="44">
        <v>136361</v>
      </c>
      <c r="D14" t="str">
        <f>VLOOKUP(B14,'[23]статьи затрат'!$A:$B,2,0)</f>
        <v>Прочие расходы</v>
      </c>
      <c r="E14" t="s">
        <v>10</v>
      </c>
    </row>
    <row r="15" spans="1:5" ht="15.75" thickBot="1" x14ac:dyDescent="0.3">
      <c r="A15" s="41" t="s">
        <v>166</v>
      </c>
      <c r="B15" s="42" t="s">
        <v>180</v>
      </c>
      <c r="C15" s="43">
        <v>106167.16</v>
      </c>
      <c r="D15" t="str">
        <f>VLOOKUP(B15,'[23]статьи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41" t="s">
        <v>166</v>
      </c>
      <c r="B16" s="42" t="s">
        <v>181</v>
      </c>
      <c r="C16" s="44">
        <v>1175000</v>
      </c>
      <c r="D16" t="str">
        <f>VLOOKUP(B16,'[23]статьи затрат'!$A:$B,2,0)</f>
        <v>Прочие расходы</v>
      </c>
      <c r="E16" t="s">
        <v>10</v>
      </c>
    </row>
    <row r="17" spans="1:5" ht="15.75" thickBot="1" x14ac:dyDescent="0.3">
      <c r="A17" s="41" t="s">
        <v>166</v>
      </c>
      <c r="B17" s="42" t="s">
        <v>182</v>
      </c>
      <c r="C17" s="43">
        <v>115311109.37</v>
      </c>
      <c r="D17" t="str">
        <f>VLOOKUP(B17,'[23]статьи затрат'!$A:$B,2,0)</f>
        <v>Расходы на персонал, зарплата начисленная с НДФЛ</v>
      </c>
    </row>
    <row r="18" spans="1:5" ht="15.75" thickBot="1" x14ac:dyDescent="0.3">
      <c r="A18" s="41" t="s">
        <v>166</v>
      </c>
      <c r="B18" s="42" t="s">
        <v>183</v>
      </c>
      <c r="C18" s="44">
        <v>5900307.5999999996</v>
      </c>
      <c r="D18" t="str">
        <f>VLOOKUP(B18,'[23]статьи затрат'!$A:$B,2,0)</f>
        <v>Прочие расходы</v>
      </c>
      <c r="E18" t="s">
        <v>10</v>
      </c>
    </row>
    <row r="19" spans="1:5" ht="15.75" thickBot="1" x14ac:dyDescent="0.3">
      <c r="A19" s="41" t="s">
        <v>166</v>
      </c>
      <c r="B19" s="42" t="s">
        <v>184</v>
      </c>
      <c r="C19" s="44">
        <v>382799.35</v>
      </c>
      <c r="D19" t="str">
        <f>VLOOKUP(B19,'[23]статьи затрат'!$A:$B,2,0)</f>
        <v>Прочие расходы</v>
      </c>
      <c r="E19" t="s">
        <v>11</v>
      </c>
    </row>
    <row r="20" spans="1:5" ht="15.75" thickBot="1" x14ac:dyDescent="0.3">
      <c r="A20" s="41" t="s">
        <v>166</v>
      </c>
      <c r="B20" s="42" t="s">
        <v>185</v>
      </c>
      <c r="C20" s="44">
        <v>89920</v>
      </c>
      <c r="D20" t="str">
        <f>VLOOKUP(B20,'[23]статьи затрат'!$A:$B,2,0)</f>
        <v>Прочие расходы</v>
      </c>
      <c r="E20" t="s">
        <v>8</v>
      </c>
    </row>
    <row r="21" spans="1:5" ht="15.75" thickBot="1" x14ac:dyDescent="0.3">
      <c r="A21" s="41" t="s">
        <v>166</v>
      </c>
      <c r="B21" s="42" t="s">
        <v>186</v>
      </c>
      <c r="C21" s="44">
        <v>1125</v>
      </c>
      <c r="D21" t="str">
        <f>VLOOKUP(B21,'[23]статьи затрат'!$A:$B,2,0)</f>
        <v>Прочие расходы</v>
      </c>
      <c r="E21" t="s">
        <v>10</v>
      </c>
    </row>
    <row r="22" spans="1:5" ht="15.75" thickBot="1" x14ac:dyDescent="0.3">
      <c r="A22" s="41" t="s">
        <v>166</v>
      </c>
      <c r="B22" s="42" t="s">
        <v>187</v>
      </c>
      <c r="C22" s="43">
        <v>5505279.5599999996</v>
      </c>
      <c r="D22" t="str">
        <f>VLOOKUP(B22,'[23]статьи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41" t="s">
        <v>166</v>
      </c>
      <c r="B23" s="42" t="s">
        <v>188</v>
      </c>
      <c r="C23" s="44">
        <v>1839179.53</v>
      </c>
      <c r="D23" t="str">
        <f>VLOOKUP(B23,'[23]статьи затрат'!$A:$B,2,0)</f>
        <v>Прочие расходы</v>
      </c>
      <c r="E23" t="s">
        <v>11</v>
      </c>
    </row>
    <row r="24" spans="1:5" ht="15.75" thickBot="1" x14ac:dyDescent="0.3">
      <c r="A24" s="41" t="s">
        <v>166</v>
      </c>
      <c r="B24" s="42" t="s">
        <v>189</v>
      </c>
      <c r="C24" s="43">
        <v>199756.5</v>
      </c>
      <c r="D24" t="str">
        <f>VLOOKUP(B24,'[23]статьи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41" t="s">
        <v>166</v>
      </c>
      <c r="B25" s="42" t="s">
        <v>190</v>
      </c>
      <c r="C25" s="43">
        <v>10229970.02</v>
      </c>
      <c r="D25" t="str">
        <f>VLOOKUP(B25,'[23]статьи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41" t="s">
        <v>166</v>
      </c>
      <c r="B26" s="42" t="s">
        <v>191</v>
      </c>
      <c r="C26" s="43">
        <v>33740.339999999997</v>
      </c>
      <c r="D26" t="str">
        <f>VLOOKUP(B26,'[23]статьи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41" t="s">
        <v>166</v>
      </c>
      <c r="B27" s="42" t="s">
        <v>192</v>
      </c>
      <c r="C27" s="43">
        <v>9520870.2400000002</v>
      </c>
      <c r="D27" t="str">
        <f>VLOOKUP(B27,'[23]статьи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41" t="s">
        <v>166</v>
      </c>
      <c r="B28" s="42" t="s">
        <v>193</v>
      </c>
      <c r="C28" s="44">
        <v>108173.34</v>
      </c>
      <c r="D28" t="str">
        <f>VLOOKUP(B28,'[23]статьи затрат'!$A:$B,2,0)</f>
        <v>Прочие расходы</v>
      </c>
      <c r="E28" t="s">
        <v>11</v>
      </c>
    </row>
    <row r="29" spans="1:5" ht="15.75" thickBot="1" x14ac:dyDescent="0.3">
      <c r="A29" s="41" t="s">
        <v>166</v>
      </c>
      <c r="B29" s="42" t="s">
        <v>194</v>
      </c>
      <c r="C29" s="44">
        <v>34417.97</v>
      </c>
      <c r="D29" t="str">
        <f>VLOOKUP(B29,'[23]статьи затрат'!$A:$B,2,0)</f>
        <v>Прочие расходы</v>
      </c>
      <c r="E29" t="s">
        <v>11</v>
      </c>
    </row>
    <row r="30" spans="1:5" ht="15.75" thickBot="1" x14ac:dyDescent="0.3">
      <c r="A30" s="41" t="s">
        <v>166</v>
      </c>
      <c r="B30" s="42" t="s">
        <v>195</v>
      </c>
      <c r="C30" s="43">
        <v>3728010.93</v>
      </c>
      <c r="D30" t="str">
        <f>VLOOKUP(B30,'[23]статьи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41" t="s">
        <v>166</v>
      </c>
      <c r="B31" s="42" t="s">
        <v>196</v>
      </c>
      <c r="C31" s="44">
        <v>13949</v>
      </c>
      <c r="D31" t="str">
        <f>VLOOKUP(B31,'[23]статьи затрат'!$A:$B,2,0)</f>
        <v>Прочие расходы</v>
      </c>
      <c r="E31" t="s">
        <v>10</v>
      </c>
    </row>
    <row r="32" spans="1:5" ht="15.75" thickBot="1" x14ac:dyDescent="0.3">
      <c r="A32" s="41" t="s">
        <v>166</v>
      </c>
      <c r="B32" s="42" t="s">
        <v>197</v>
      </c>
      <c r="C32" s="43">
        <v>2579352.77</v>
      </c>
      <c r="D32" t="str">
        <f>VLOOKUP(B32,'[23]статьи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41" t="s">
        <v>166</v>
      </c>
      <c r="B33" s="42" t="s">
        <v>198</v>
      </c>
      <c r="C33" s="43">
        <v>3334460.98</v>
      </c>
      <c r="D33" t="str">
        <f>VLOOKUP(B33,'[23]статьи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41" t="s">
        <v>166</v>
      </c>
      <c r="B34" s="42" t="s">
        <v>199</v>
      </c>
      <c r="C34" s="44">
        <v>197514.17</v>
      </c>
      <c r="D34" t="str">
        <f>VLOOKUP(B34,'[23]статьи затрат'!$A:$B,2,0)</f>
        <v>Прочие расходы</v>
      </c>
      <c r="E34" t="s">
        <v>11</v>
      </c>
    </row>
    <row r="35" spans="1:5" ht="15.75" thickBot="1" x14ac:dyDescent="0.3">
      <c r="A35" s="41" t="s">
        <v>166</v>
      </c>
      <c r="B35" s="42" t="s">
        <v>200</v>
      </c>
      <c r="C35" s="44">
        <v>47869.81</v>
      </c>
      <c r="D35" t="str">
        <f>VLOOKUP(B35,'[23]статьи затрат'!$A:$B,2,0)</f>
        <v>Прочие расходы</v>
      </c>
      <c r="E35" t="s">
        <v>11</v>
      </c>
    </row>
    <row r="36" spans="1:5" ht="15.75" thickBot="1" x14ac:dyDescent="0.3">
      <c r="A36" s="41" t="s">
        <v>166</v>
      </c>
      <c r="B36" s="42" t="s">
        <v>201</v>
      </c>
      <c r="C36" s="44">
        <v>158990.38</v>
      </c>
      <c r="D36" t="str">
        <f>VLOOKUP(B36,'[23]статьи затрат'!$A:$B,2,0)</f>
        <v>Прочие расходы</v>
      </c>
      <c r="E36" t="s">
        <v>11</v>
      </c>
    </row>
    <row r="37" spans="1:5" ht="15.75" thickBot="1" x14ac:dyDescent="0.3">
      <c r="A37" s="41" t="s">
        <v>166</v>
      </c>
      <c r="B37" s="42" t="s">
        <v>202</v>
      </c>
      <c r="C37" s="44">
        <v>44000</v>
      </c>
      <c r="D37" t="str">
        <f>VLOOKUP(B37,'[23]статьи затрат'!$A:$B,2,0)</f>
        <v>Прочие расходы</v>
      </c>
      <c r="E37" t="s">
        <v>11</v>
      </c>
    </row>
    <row r="38" spans="1:5" ht="15.75" thickBot="1" x14ac:dyDescent="0.3">
      <c r="A38" s="41" t="s">
        <v>166</v>
      </c>
      <c r="B38" s="42" t="s">
        <v>203</v>
      </c>
      <c r="C38" s="43">
        <v>162336.93</v>
      </c>
      <c r="D38" t="str">
        <f>VLOOKUP(B38,'[23]статьи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41" t="s">
        <v>166</v>
      </c>
      <c r="B39" s="42" t="s">
        <v>204</v>
      </c>
      <c r="C39" s="44">
        <v>172310.6</v>
      </c>
      <c r="D39" t="str">
        <f>VLOOKUP(B39,'[23]статьи затрат'!$A:$B,2,0)</f>
        <v>Прочие расходы</v>
      </c>
      <c r="E39" t="s">
        <v>11</v>
      </c>
    </row>
    <row r="40" spans="1:5" ht="15.75" thickBot="1" x14ac:dyDescent="0.3">
      <c r="A40" s="41" t="s">
        <v>166</v>
      </c>
      <c r="B40" s="42" t="s">
        <v>205</v>
      </c>
      <c r="C40" s="44">
        <v>818542.38</v>
      </c>
      <c r="D40" t="str">
        <f>VLOOKUP(B40,'[23]статьи затрат'!$A:$B,2,0)</f>
        <v>Прочие расходы</v>
      </c>
      <c r="E40" t="s">
        <v>11</v>
      </c>
    </row>
    <row r="41" spans="1:5" ht="15.75" thickBot="1" x14ac:dyDescent="0.3">
      <c r="A41" s="41" t="s">
        <v>166</v>
      </c>
      <c r="B41" s="42" t="s">
        <v>206</v>
      </c>
      <c r="C41" s="44">
        <v>29262.3</v>
      </c>
      <c r="D41" t="str">
        <f>VLOOKUP(B41,'[23]статьи затрат'!$A:$B,2,0)</f>
        <v>Прочие расходы</v>
      </c>
      <c r="E41" t="s">
        <v>11</v>
      </c>
    </row>
    <row r="42" spans="1:5" ht="15.75" thickBot="1" x14ac:dyDescent="0.3">
      <c r="A42" s="41" t="s">
        <v>166</v>
      </c>
      <c r="B42" s="42" t="s">
        <v>207</v>
      </c>
      <c r="C42" s="43">
        <v>34403016.140000001</v>
      </c>
      <c r="D42" t="str">
        <f>VLOOKUP(B42,'[23]статьи затрат'!$A:$B,2,0)</f>
        <v>Расходы на персонал, Отчисления в соц. Фонды</v>
      </c>
    </row>
    <row r="43" spans="1:5" ht="15.75" thickBot="1" x14ac:dyDescent="0.3">
      <c r="A43" s="41" t="s">
        <v>166</v>
      </c>
      <c r="B43" s="42" t="s">
        <v>208</v>
      </c>
      <c r="C43" s="43">
        <v>171416.63</v>
      </c>
      <c r="D43" t="str">
        <f>VLOOKUP(B43,'[23]статьи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41" t="s">
        <v>209</v>
      </c>
      <c r="B44" s="42" t="s">
        <v>169</v>
      </c>
      <c r="C44" s="43">
        <v>606870.96</v>
      </c>
      <c r="D44" t="str">
        <f>VLOOKUP(B44,'[23]статьи затрат'!$A:$B,2,0)</f>
        <v>Амортизация</v>
      </c>
    </row>
    <row r="45" spans="1:5" ht="15.75" thickBot="1" x14ac:dyDescent="0.3">
      <c r="A45" s="41" t="s">
        <v>209</v>
      </c>
      <c r="B45" s="42" t="s">
        <v>170</v>
      </c>
      <c r="C45" s="43">
        <v>67423.820000000007</v>
      </c>
      <c r="D45" t="str">
        <f>VLOOKUP(B45,'[23]статьи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41" t="s">
        <v>209</v>
      </c>
      <c r="B46" s="42" t="s">
        <v>210</v>
      </c>
      <c r="C46" s="43">
        <v>91250</v>
      </c>
      <c r="D46" t="str">
        <f>VLOOKUP(B46,'[23]статьи затрат'!$A:$B,2,0)</f>
        <v>Прочие расходы</v>
      </c>
      <c r="E46" t="s">
        <v>12</v>
      </c>
    </row>
    <row r="47" spans="1:5" ht="15.75" thickBot="1" x14ac:dyDescent="0.3">
      <c r="A47" s="41" t="s">
        <v>209</v>
      </c>
      <c r="B47" s="42" t="s">
        <v>172</v>
      </c>
      <c r="C47" s="43">
        <v>21745.119999999999</v>
      </c>
      <c r="D47" t="str">
        <f>VLOOKUP(B47,'[23]статьи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41" t="s">
        <v>209</v>
      </c>
      <c r="B48" s="42" t="s">
        <v>173</v>
      </c>
      <c r="C48" s="43">
        <v>1455785.03</v>
      </c>
      <c r="D48" t="str">
        <f>VLOOKUP(B48,'[23]статьи затрат'!$A:$B,2,0)</f>
        <v>Амортизация</v>
      </c>
    </row>
    <row r="49" spans="1:5" ht="15.75" thickBot="1" x14ac:dyDescent="0.3">
      <c r="A49" s="41" t="s">
        <v>209</v>
      </c>
      <c r="B49" s="42" t="s">
        <v>211</v>
      </c>
      <c r="C49" s="43">
        <v>392920.64</v>
      </c>
      <c r="D49" t="str">
        <f>VLOOKUP(B49,'[23]статьи затрат'!$A:$B,2,0)</f>
        <v>Прочие расходы</v>
      </c>
      <c r="E49" t="s">
        <v>10</v>
      </c>
    </row>
    <row r="50" spans="1:5" ht="15.75" thickBot="1" x14ac:dyDescent="0.3">
      <c r="A50" s="41" t="s">
        <v>209</v>
      </c>
      <c r="B50" s="42" t="s">
        <v>212</v>
      </c>
      <c r="C50" s="43">
        <v>172849.71</v>
      </c>
      <c r="D50" t="str">
        <f>VLOOKUP(B50,'[23]статьи затрат'!$A:$B,2,0)</f>
        <v>Прочие расходы</v>
      </c>
      <c r="E50" t="s">
        <v>10</v>
      </c>
    </row>
    <row r="51" spans="1:5" ht="15.75" thickBot="1" x14ac:dyDescent="0.3">
      <c r="A51" s="41" t="s">
        <v>209</v>
      </c>
      <c r="B51" s="42" t="s">
        <v>213</v>
      </c>
      <c r="C51" s="43">
        <v>377612.13</v>
      </c>
      <c r="D51" t="str">
        <f>VLOOKUP(B51,'[23]статьи затрат'!$A:$B,2,0)</f>
        <v>Прочие расходы</v>
      </c>
      <c r="E51" t="s">
        <v>12</v>
      </c>
    </row>
    <row r="52" spans="1:5" ht="15.75" thickBot="1" x14ac:dyDescent="0.3">
      <c r="A52" s="41" t="s">
        <v>209</v>
      </c>
      <c r="B52" s="42" t="s">
        <v>214</v>
      </c>
      <c r="C52" s="43">
        <v>1134.1600000000001</v>
      </c>
      <c r="D52" t="str">
        <f>VLOOKUP(B52,'[23]статьи затрат'!$A:$B,2,0)</f>
        <v>Прочие расходы</v>
      </c>
      <c r="E52" t="s">
        <v>10</v>
      </c>
    </row>
    <row r="53" spans="1:5" ht="15.75" thickBot="1" x14ac:dyDescent="0.3">
      <c r="A53" s="41" t="s">
        <v>209</v>
      </c>
      <c r="B53" s="42" t="s">
        <v>215</v>
      </c>
      <c r="C53" s="43">
        <v>176771.21</v>
      </c>
      <c r="D53" t="str">
        <f>VLOOKUP(B53,'[23]статьи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41" t="s">
        <v>209</v>
      </c>
      <c r="B54" s="42" t="s">
        <v>178</v>
      </c>
      <c r="C54" s="43">
        <v>31478.18</v>
      </c>
      <c r="D54" t="str">
        <f>VLOOKUP(B54,'[23]статьи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41" t="s">
        <v>209</v>
      </c>
      <c r="B55" s="42" t="s">
        <v>180</v>
      </c>
      <c r="C55" s="43">
        <v>316661.77</v>
      </c>
      <c r="D55" t="str">
        <f>VLOOKUP(B55,'[23]статьи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41" t="s">
        <v>209</v>
      </c>
      <c r="B56" s="42" t="s">
        <v>182</v>
      </c>
      <c r="C56" s="43">
        <v>38901568.219999999</v>
      </c>
      <c r="D56" t="str">
        <f>VLOOKUP(B56,'[23]статьи затрат'!$A:$B,2,0)</f>
        <v>Расходы на персонал, зарплата начисленная с НДФЛ</v>
      </c>
    </row>
    <row r="57" spans="1:5" ht="15.75" thickBot="1" x14ac:dyDescent="0.3">
      <c r="A57" s="41" t="s">
        <v>209</v>
      </c>
      <c r="B57" s="42" t="s">
        <v>184</v>
      </c>
      <c r="C57" s="43">
        <v>99850.02</v>
      </c>
      <c r="D57" t="str">
        <f>VLOOKUP(B57,'[23]статьи затрат'!$A:$B,2,0)</f>
        <v>Прочие расходы</v>
      </c>
      <c r="E57" t="s">
        <v>12</v>
      </c>
    </row>
    <row r="58" spans="1:5" ht="15.75" thickBot="1" x14ac:dyDescent="0.3">
      <c r="A58" s="41" t="s">
        <v>209</v>
      </c>
      <c r="B58" s="42" t="s">
        <v>216</v>
      </c>
      <c r="C58" s="43">
        <v>79842.75</v>
      </c>
      <c r="D58" t="str">
        <f>VLOOKUP(B58,'[23]статьи затрат'!$A:$B,2,0)</f>
        <v>Прочие расходы</v>
      </c>
      <c r="E58" t="s">
        <v>12</v>
      </c>
    </row>
    <row r="59" spans="1:5" ht="15.75" thickBot="1" x14ac:dyDescent="0.3">
      <c r="A59" s="41" t="s">
        <v>209</v>
      </c>
      <c r="B59" s="42" t="s">
        <v>185</v>
      </c>
      <c r="C59" s="43">
        <v>153050</v>
      </c>
      <c r="D59" t="str">
        <f>VLOOKUP(B59,'[23]статьи затрат'!$A:$B,2,0)</f>
        <v>Прочие расходы</v>
      </c>
      <c r="E59" t="s">
        <v>8</v>
      </c>
    </row>
    <row r="60" spans="1:5" ht="15.75" thickBot="1" x14ac:dyDescent="0.3">
      <c r="A60" s="41" t="s">
        <v>209</v>
      </c>
      <c r="B60" s="42" t="s">
        <v>186</v>
      </c>
      <c r="C60" s="43">
        <v>134598.24</v>
      </c>
      <c r="D60" t="str">
        <f>VLOOKUP(B60,'[23]статьи затрат'!$A:$B,2,0)</f>
        <v>Прочие расходы</v>
      </c>
      <c r="E60" t="s">
        <v>10</v>
      </c>
    </row>
    <row r="61" spans="1:5" ht="15.75" thickBot="1" x14ac:dyDescent="0.3">
      <c r="A61" s="41" t="s">
        <v>209</v>
      </c>
      <c r="B61" s="42" t="s">
        <v>217</v>
      </c>
      <c r="C61" s="43">
        <v>78953.95</v>
      </c>
      <c r="D61" t="str">
        <f>VLOOKUP(B61,'[23]статьи затрат'!$A:$B,2,0)</f>
        <v>Прочие расходы</v>
      </c>
      <c r="E61" t="s">
        <v>12</v>
      </c>
    </row>
    <row r="62" spans="1:5" ht="15.75" thickBot="1" x14ac:dyDescent="0.3">
      <c r="A62" s="41" t="s">
        <v>209</v>
      </c>
      <c r="B62" s="42" t="s">
        <v>187</v>
      </c>
      <c r="C62" s="43">
        <v>4924127.33</v>
      </c>
      <c r="D62" t="str">
        <f>VLOOKUP(B62,'[23]статьи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41" t="s">
        <v>209</v>
      </c>
      <c r="B63" s="42" t="s">
        <v>188</v>
      </c>
      <c r="C63" s="43">
        <v>1050188.25</v>
      </c>
      <c r="D63" t="str">
        <f>VLOOKUP(B63,'[23]статьи затрат'!$A:$B,2,0)</f>
        <v>Прочие расходы</v>
      </c>
      <c r="E63" t="s">
        <v>12</v>
      </c>
    </row>
    <row r="64" spans="1:5" ht="15.75" thickBot="1" x14ac:dyDescent="0.3">
      <c r="A64" s="41" t="s">
        <v>209</v>
      </c>
      <c r="B64" s="42" t="s">
        <v>190</v>
      </c>
      <c r="C64" s="43">
        <v>50052.75</v>
      </c>
      <c r="D64" t="str">
        <f>VLOOKUP(B64,'[23]статьи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41" t="s">
        <v>209</v>
      </c>
      <c r="B65" s="42" t="s">
        <v>191</v>
      </c>
      <c r="C65" s="43">
        <v>33149.620000000003</v>
      </c>
      <c r="D65" t="str">
        <f>VLOOKUP(B65,'[23]статьи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41" t="s">
        <v>209</v>
      </c>
      <c r="B66" s="42" t="s">
        <v>192</v>
      </c>
      <c r="C66" s="43">
        <v>1681296.91</v>
      </c>
      <c r="D66" t="str">
        <f>VLOOKUP(B66,'[23]статьи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41" t="s">
        <v>209</v>
      </c>
      <c r="B67" s="42" t="s">
        <v>193</v>
      </c>
      <c r="C67" s="43">
        <v>52211.33</v>
      </c>
      <c r="D67" t="str">
        <f>VLOOKUP(B67,'[23]статьи затрат'!$A:$B,2,0)</f>
        <v>Прочие расходы</v>
      </c>
      <c r="E67" t="s">
        <v>12</v>
      </c>
    </row>
    <row r="68" spans="1:5" ht="15.75" thickBot="1" x14ac:dyDescent="0.3">
      <c r="A68" s="41" t="s">
        <v>209</v>
      </c>
      <c r="B68" s="42" t="s">
        <v>218</v>
      </c>
      <c r="C68" s="43">
        <v>3756364.42</v>
      </c>
      <c r="D68" t="str">
        <f>VLOOKUP(B68,'[23]статьи затрат'!$A:$B,2,0)</f>
        <v>Прочие расходы</v>
      </c>
      <c r="E68" t="s">
        <v>8</v>
      </c>
    </row>
    <row r="69" spans="1:5" ht="15.75" thickBot="1" x14ac:dyDescent="0.3">
      <c r="A69" s="41" t="s">
        <v>209</v>
      </c>
      <c r="B69" s="42" t="s">
        <v>194</v>
      </c>
      <c r="C69" s="43">
        <v>4823501.8600000003</v>
      </c>
      <c r="D69" t="str">
        <f>VLOOKUP(B69,'[23]статьи затрат'!$A:$B,2,0)</f>
        <v>Прочие расходы</v>
      </c>
      <c r="E69" t="s">
        <v>12</v>
      </c>
    </row>
    <row r="70" spans="1:5" ht="15.75" thickBot="1" x14ac:dyDescent="0.3">
      <c r="A70" s="41" t="s">
        <v>209</v>
      </c>
      <c r="B70" s="42" t="s">
        <v>195</v>
      </c>
      <c r="C70" s="43">
        <v>3295698.94</v>
      </c>
      <c r="D70" t="str">
        <f>VLOOKUP(B70,'[23]статьи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41" t="s">
        <v>209</v>
      </c>
      <c r="B71" s="42" t="s">
        <v>196</v>
      </c>
      <c r="C71" s="43">
        <v>1830</v>
      </c>
      <c r="D71" t="str">
        <f>VLOOKUP(B71,'[23]статьи затрат'!$A:$B,2,0)</f>
        <v>Прочие расходы</v>
      </c>
      <c r="E71" t="s">
        <v>10</v>
      </c>
    </row>
    <row r="72" spans="1:5" ht="15.75" thickBot="1" x14ac:dyDescent="0.3">
      <c r="A72" s="41" t="s">
        <v>209</v>
      </c>
      <c r="B72" s="42" t="s">
        <v>197</v>
      </c>
      <c r="C72" s="43">
        <v>4445802.92</v>
      </c>
      <c r="D72" t="str">
        <f>VLOOKUP(B72,'[23]статьи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41" t="s">
        <v>209</v>
      </c>
      <c r="B73" s="42" t="s">
        <v>198</v>
      </c>
      <c r="C73" s="43">
        <v>436665.91</v>
      </c>
      <c r="D73" t="str">
        <f>VLOOKUP(B73,'[23]статьи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41" t="s">
        <v>209</v>
      </c>
      <c r="B74" s="42" t="s">
        <v>219</v>
      </c>
      <c r="C74" s="43">
        <v>98055</v>
      </c>
      <c r="D74" t="str">
        <f>VLOOKUP(B74,'[23]статьи затрат'!$A:$B,2,0)</f>
        <v>Прочие расходы</v>
      </c>
      <c r="E74" t="s">
        <v>12</v>
      </c>
    </row>
    <row r="75" spans="1:5" ht="15.75" thickBot="1" x14ac:dyDescent="0.3">
      <c r="A75" s="41" t="s">
        <v>209</v>
      </c>
      <c r="B75" s="42" t="s">
        <v>199</v>
      </c>
      <c r="C75" s="43">
        <v>1478209.71</v>
      </c>
      <c r="D75" t="str">
        <f>VLOOKUP(B75,'[23]статьи затрат'!$A:$B,2,0)</f>
        <v>Прочие расходы</v>
      </c>
      <c r="E75" t="s">
        <v>12</v>
      </c>
    </row>
    <row r="76" spans="1:5" ht="15.75" thickBot="1" x14ac:dyDescent="0.3">
      <c r="A76" s="41" t="s">
        <v>209</v>
      </c>
      <c r="B76" s="42" t="s">
        <v>220</v>
      </c>
      <c r="C76" s="43">
        <v>17893548.140000001</v>
      </c>
      <c r="D76" t="str">
        <f>VLOOKUP(B76,'[23]статьи затрат'!$A:$B,2,0)</f>
        <v>Прочие расходы</v>
      </c>
      <c r="E76" t="s">
        <v>12</v>
      </c>
    </row>
    <row r="77" spans="1:5" ht="15.75" thickBot="1" x14ac:dyDescent="0.3">
      <c r="A77" s="41" t="s">
        <v>209</v>
      </c>
      <c r="B77" s="42" t="s">
        <v>200</v>
      </c>
      <c r="C77" s="43">
        <v>1091986.24</v>
      </c>
      <c r="D77" t="str">
        <f>VLOOKUP(B77,'[23]статьи затрат'!$A:$B,2,0)</f>
        <v>Прочие расходы</v>
      </c>
      <c r="E77" t="s">
        <v>12</v>
      </c>
    </row>
    <row r="78" spans="1:5" ht="15.75" thickBot="1" x14ac:dyDescent="0.3">
      <c r="A78" s="41" t="s">
        <v>209</v>
      </c>
      <c r="B78" s="42" t="s">
        <v>201</v>
      </c>
      <c r="C78" s="43">
        <v>598164.56999999995</v>
      </c>
      <c r="D78" t="str">
        <f>VLOOKUP(B78,'[23]статьи затрат'!$A:$B,2,0)</f>
        <v>Прочие расходы</v>
      </c>
      <c r="E78" t="s">
        <v>12</v>
      </c>
    </row>
    <row r="79" spans="1:5" ht="15.75" thickBot="1" x14ac:dyDescent="0.3">
      <c r="A79" s="41" t="s">
        <v>209</v>
      </c>
      <c r="B79" s="42" t="s">
        <v>221</v>
      </c>
      <c r="C79" s="43">
        <v>285578</v>
      </c>
      <c r="D79" t="str">
        <f>VLOOKUP(B79,'[23]статьи затрат'!$A:$B,2,0)</f>
        <v>Прочие расходы</v>
      </c>
      <c r="E79" t="s">
        <v>12</v>
      </c>
    </row>
    <row r="80" spans="1:5" ht="15.75" thickBot="1" x14ac:dyDescent="0.3">
      <c r="A80" s="41" t="s">
        <v>209</v>
      </c>
      <c r="B80" s="42" t="s">
        <v>222</v>
      </c>
      <c r="C80" s="43">
        <v>239796.77</v>
      </c>
      <c r="D80" t="str">
        <f>VLOOKUP(B80,'[23]статьи затрат'!$A:$B,2,0)</f>
        <v>Прочие расходы</v>
      </c>
      <c r="E80" t="s">
        <v>12</v>
      </c>
    </row>
    <row r="81" spans="1:5" ht="15.75" thickBot="1" x14ac:dyDescent="0.3">
      <c r="A81" s="41" t="s">
        <v>209</v>
      </c>
      <c r="B81" s="42" t="s">
        <v>203</v>
      </c>
      <c r="C81" s="43">
        <v>1040559.53</v>
      </c>
      <c r="D81" t="str">
        <f>VLOOKUP(B81,'[23]статьи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41" t="s">
        <v>209</v>
      </c>
      <c r="B82" s="42" t="s">
        <v>204</v>
      </c>
      <c r="C82" s="43">
        <v>412275.46</v>
      </c>
      <c r="D82" t="str">
        <f>VLOOKUP(B82,'[23]статьи затрат'!$A:$B,2,0)</f>
        <v>Прочие расходы</v>
      </c>
      <c r="E82" t="s">
        <v>12</v>
      </c>
    </row>
    <row r="83" spans="1:5" ht="15.75" thickBot="1" x14ac:dyDescent="0.3">
      <c r="A83" s="41" t="s">
        <v>209</v>
      </c>
      <c r="B83" s="42" t="s">
        <v>207</v>
      </c>
      <c r="C83" s="43">
        <v>11138103.060000001</v>
      </c>
      <c r="D83" t="str">
        <f>VLOOKUP(B83,'[23]статьи затрат'!$A:$B,2,0)</f>
        <v>Расходы на персонал, Отчисления в соц. Фонды</v>
      </c>
    </row>
    <row r="84" spans="1:5" ht="15.75" thickBot="1" x14ac:dyDescent="0.3">
      <c r="A84" s="41" t="s">
        <v>209</v>
      </c>
      <c r="B84" s="42" t="s">
        <v>223</v>
      </c>
      <c r="C84" s="43">
        <v>1838708</v>
      </c>
      <c r="D84" t="str">
        <f>VLOOKUP(B84,'[23]статьи затрат'!$A:$B,2,0)</f>
        <v>Налог на имущество</v>
      </c>
      <c r="E84" t="s">
        <v>12</v>
      </c>
    </row>
    <row r="85" spans="1:5" ht="15.75" thickBot="1" x14ac:dyDescent="0.3">
      <c r="A85" s="41" t="s">
        <v>209</v>
      </c>
      <c r="B85" s="42" t="s">
        <v>224</v>
      </c>
      <c r="C85" s="43">
        <v>59928.33</v>
      </c>
      <c r="D85" t="str">
        <f>VLOOKUP(B85,'[23]статьи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41" t="s">
        <v>209</v>
      </c>
      <c r="B86" s="42" t="s">
        <v>225</v>
      </c>
      <c r="C86" s="43">
        <v>368017</v>
      </c>
      <c r="D86" t="str">
        <f>VLOOKUP(B86,'[23]статьи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41" t="s">
        <v>209</v>
      </c>
      <c r="B87" s="42" t="s">
        <v>208</v>
      </c>
      <c r="C87" s="43">
        <v>4434510.0199999996</v>
      </c>
      <c r="D87" t="str">
        <f>VLOOKUP(B87,'[23]статьи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41" t="s">
        <v>209</v>
      </c>
      <c r="B88" s="42" t="s">
        <v>226</v>
      </c>
      <c r="C88" s="43">
        <v>2691.27</v>
      </c>
      <c r="D88" t="str">
        <f>VLOOKUP(B88,'[23]статьи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64" workbookViewId="0">
      <selection activeCell="E199" sqref="E199"/>
    </sheetView>
  </sheetViews>
  <sheetFormatPr defaultRowHeight="15" x14ac:dyDescent="0.25"/>
  <cols>
    <col min="2" max="2" width="59.140625" customWidth="1"/>
    <col min="3" max="3" width="14.28515625" style="40" bestFit="1" customWidth="1"/>
    <col min="4" max="4" width="29.140625" style="40" customWidth="1"/>
  </cols>
  <sheetData>
    <row r="1" spans="1:4" ht="15.75" thickBot="1" x14ac:dyDescent="0.3">
      <c r="A1" t="s">
        <v>166</v>
      </c>
      <c r="B1" s="42" t="s">
        <v>232</v>
      </c>
      <c r="C1" s="44">
        <v>2370720.48</v>
      </c>
      <c r="D1" s="40" t="e">
        <f>INDEX(Лист1!$A$2:$E$88,MATCH(B1,Лист1!$B$2:$B$88,0),5)</f>
        <v>#N/A</v>
      </c>
    </row>
    <row r="2" spans="1:4" ht="15.75" thickBot="1" x14ac:dyDescent="0.3">
      <c r="A2" t="s">
        <v>166</v>
      </c>
      <c r="B2" s="42" t="s">
        <v>167</v>
      </c>
      <c r="C2" s="44">
        <v>3702799.54</v>
      </c>
      <c r="D2" s="40">
        <f>INDEX(Лист1!$A$2:$E$88,MATCH(B2,Лист1!$B$2:$B$88,0),5)</f>
        <v>0</v>
      </c>
    </row>
    <row r="3" spans="1:4" ht="15.75" thickBot="1" x14ac:dyDescent="0.3">
      <c r="A3" t="s">
        <v>166</v>
      </c>
      <c r="B3" s="42" t="s">
        <v>168</v>
      </c>
      <c r="C3" s="44">
        <v>1541715.72</v>
      </c>
      <c r="D3" s="40">
        <f>INDEX(Лист1!$A$2:$E$88,MATCH(B3,Лист1!$B$2:$B$88,0),5)</f>
        <v>0</v>
      </c>
    </row>
    <row r="4" spans="1:4" ht="15.75" thickBot="1" x14ac:dyDescent="0.3">
      <c r="A4" t="s">
        <v>166</v>
      </c>
      <c r="B4" s="42" t="s">
        <v>169</v>
      </c>
      <c r="C4" s="44">
        <v>38000.04</v>
      </c>
      <c r="D4" s="40">
        <f>INDEX(Лист1!$A$2:$E$88,MATCH(B4,Лист1!$B$2:$B$88,0),5)</f>
        <v>0</v>
      </c>
    </row>
    <row r="5" spans="1:4" ht="15.75" thickBot="1" x14ac:dyDescent="0.3">
      <c r="A5" t="s">
        <v>166</v>
      </c>
      <c r="B5" s="42" t="s">
        <v>170</v>
      </c>
      <c r="C5" s="44">
        <v>5910576.8700000001</v>
      </c>
      <c r="D5" s="40" t="str">
        <f>INDEX(Лист1!$A$2:$E$88,MATCH(B5,Лист1!$B$2:$B$88,0),5)</f>
        <v>Прочие производственные расходы</v>
      </c>
    </row>
    <row r="6" spans="1:4" ht="15.75" thickBot="1" x14ac:dyDescent="0.3">
      <c r="A6" t="s">
        <v>166</v>
      </c>
      <c r="B6" s="42" t="s">
        <v>227</v>
      </c>
      <c r="C6" s="44">
        <v>63109</v>
      </c>
      <c r="D6" s="40" t="s">
        <v>11</v>
      </c>
    </row>
    <row r="7" spans="1:4" ht="15.75" thickBot="1" x14ac:dyDescent="0.3">
      <c r="A7" t="s">
        <v>166</v>
      </c>
      <c r="B7" s="42" t="s">
        <v>171</v>
      </c>
      <c r="C7" s="44">
        <v>1937456.22</v>
      </c>
      <c r="D7" s="40" t="str">
        <f>INDEX(Лист1!$A$2:$E$88,MATCH(B7,Лист1!$B$2:$B$88,0),5)</f>
        <v>Содержание и эксплуатация зданий, сооружений и оборудования</v>
      </c>
    </row>
    <row r="8" spans="1:4" ht="15.75" thickBot="1" x14ac:dyDescent="0.3">
      <c r="A8" t="s">
        <v>166</v>
      </c>
      <c r="B8" s="42" t="s">
        <v>172</v>
      </c>
      <c r="C8" s="44">
        <v>9551604.75</v>
      </c>
      <c r="D8" s="40" t="str">
        <f>INDEX(Лист1!$A$2:$E$88,MATCH(B8,Лист1!$B$2:$B$88,0),5)</f>
        <v>Содержание и эксплуатация зданий, сооружений и оборудования</v>
      </c>
    </row>
    <row r="9" spans="1:4" ht="15.75" thickBot="1" x14ac:dyDescent="0.3">
      <c r="A9" t="s">
        <v>166</v>
      </c>
      <c r="B9" s="42" t="s">
        <v>173</v>
      </c>
      <c r="C9" s="44">
        <v>13513839.43</v>
      </c>
      <c r="D9" s="40">
        <f>INDEX(Лист1!$A$2:$E$88,MATCH(B9,Лист1!$B$2:$B$88,0),5)</f>
        <v>0</v>
      </c>
    </row>
    <row r="10" spans="1:4" ht="15.75" thickBot="1" x14ac:dyDescent="0.3">
      <c r="A10" t="s">
        <v>166</v>
      </c>
      <c r="B10" s="42" t="s">
        <v>174</v>
      </c>
      <c r="C10" s="44">
        <v>9227.3700000000008</v>
      </c>
      <c r="D10" s="40" t="str">
        <f>INDEX(Лист1!$A$2:$E$88,MATCH(B10,Лист1!$B$2:$B$88,0),5)</f>
        <v>Содержание и эксплуатация зданий, сооружений и оборудования</v>
      </c>
    </row>
    <row r="11" spans="1:4" ht="15.75" thickBot="1" x14ac:dyDescent="0.3">
      <c r="A11" t="s">
        <v>166</v>
      </c>
      <c r="B11" s="42" t="s">
        <v>175</v>
      </c>
      <c r="C11" s="44">
        <v>809824.7</v>
      </c>
      <c r="D11" s="40" t="str">
        <f>INDEX(Лист1!$A$2:$E$88,MATCH(B11,Лист1!$B$2:$B$88,0),5)</f>
        <v>Содержание и эксплуатация зданий, сооружений и оборудования</v>
      </c>
    </row>
    <row r="12" spans="1:4" ht="15.75" thickBot="1" x14ac:dyDescent="0.3">
      <c r="A12" t="s">
        <v>166</v>
      </c>
      <c r="B12" s="42" t="s">
        <v>228</v>
      </c>
      <c r="C12" s="44">
        <v>611581.74</v>
      </c>
      <c r="D12" s="40" t="s">
        <v>8</v>
      </c>
    </row>
    <row r="13" spans="1:4" ht="15.75" thickBot="1" x14ac:dyDescent="0.3">
      <c r="A13" t="s">
        <v>166</v>
      </c>
      <c r="B13" s="42" t="s">
        <v>229</v>
      </c>
      <c r="C13" s="44">
        <v>9040</v>
      </c>
      <c r="D13" s="40" t="s">
        <v>12</v>
      </c>
    </row>
    <row r="14" spans="1:4" ht="15.75" thickBot="1" x14ac:dyDescent="0.3">
      <c r="A14" t="s">
        <v>166</v>
      </c>
      <c r="B14" s="42" t="s">
        <v>211</v>
      </c>
      <c r="C14" s="44">
        <v>985346.5</v>
      </c>
      <c r="D14" s="40" t="str">
        <f>INDEX(Лист1!$A$2:$E$88,MATCH(B14,Лист1!$B$2:$B$88,0),5)</f>
        <v xml:space="preserve">Аренда и услуги сторонних предприятий и организаций </v>
      </c>
    </row>
    <row r="15" spans="1:4" ht="15.75" thickBot="1" x14ac:dyDescent="0.3">
      <c r="A15" t="s">
        <v>166</v>
      </c>
      <c r="B15" s="42" t="s">
        <v>213</v>
      </c>
      <c r="C15" s="44">
        <v>20052.82</v>
      </c>
      <c r="D15" s="40" t="str">
        <f>INDEX(Лист1!$A$2:$E$88,MATCH(B15,Лист1!$B$2:$B$88,0),5)</f>
        <v>Общехозяйственные расходы</v>
      </c>
    </row>
    <row r="16" spans="1:4" ht="15.75" thickBot="1" x14ac:dyDescent="0.3">
      <c r="A16" t="s">
        <v>166</v>
      </c>
      <c r="B16" s="42" t="s">
        <v>215</v>
      </c>
      <c r="C16" s="44">
        <v>53059.8</v>
      </c>
      <c r="D16" s="40" t="str">
        <f>INDEX(Лист1!$A$2:$E$88,MATCH(B16,Лист1!$B$2:$B$88,0),5)</f>
        <v>Общехозяйственные расходы</v>
      </c>
    </row>
    <row r="17" spans="1:4" ht="15.75" thickBot="1" x14ac:dyDescent="0.3">
      <c r="A17" t="s">
        <v>166</v>
      </c>
      <c r="B17" s="42" t="s">
        <v>179</v>
      </c>
      <c r="C17" s="44">
        <v>76610</v>
      </c>
      <c r="D17" s="40" t="str">
        <f>INDEX(Лист1!$A$2:$E$88,MATCH(B17,Лист1!$B$2:$B$88,0),5)</f>
        <v xml:space="preserve">Аренда и услуги сторонних предприятий и организаций </v>
      </c>
    </row>
    <row r="18" spans="1:4" ht="15.75" thickBot="1" x14ac:dyDescent="0.3">
      <c r="A18" t="s">
        <v>166</v>
      </c>
      <c r="B18" s="42" t="s">
        <v>180</v>
      </c>
      <c r="C18" s="44">
        <v>166855.96</v>
      </c>
      <c r="D18" s="40" t="str">
        <f>INDEX(Лист1!$A$2:$E$88,MATCH(B18,Лист1!$B$2:$B$88,0),5)</f>
        <v>Содержание и эксплуатация зданий, сооружений и оборудования</v>
      </c>
    </row>
    <row r="19" spans="1:4" ht="15.75" thickBot="1" x14ac:dyDescent="0.3">
      <c r="A19" t="s">
        <v>166</v>
      </c>
      <c r="B19" s="42" t="s">
        <v>182</v>
      </c>
      <c r="C19" s="44">
        <v>180064946.96000001</v>
      </c>
      <c r="D19" s="40">
        <f>INDEX(Лист1!$A$2:$E$88,MATCH(B19,Лист1!$B$2:$B$88,0),5)</f>
        <v>0</v>
      </c>
    </row>
    <row r="20" spans="1:4" ht="15.75" thickBot="1" x14ac:dyDescent="0.3">
      <c r="A20" t="s">
        <v>166</v>
      </c>
      <c r="B20" s="42" t="s">
        <v>183</v>
      </c>
      <c r="C20" s="44">
        <v>6210476</v>
      </c>
      <c r="D20" s="40" t="str">
        <f>INDEX(Лист1!$A$2:$E$88,MATCH(B20,Лист1!$B$2:$B$88,0),5)</f>
        <v xml:space="preserve">Аренда и услуги сторонних предприятий и организаций </v>
      </c>
    </row>
    <row r="21" spans="1:4" ht="15.75" thickBot="1" x14ac:dyDescent="0.3">
      <c r="A21" t="s">
        <v>166</v>
      </c>
      <c r="B21" s="42" t="s">
        <v>184</v>
      </c>
      <c r="C21" s="44">
        <v>697696.84</v>
      </c>
      <c r="D21" s="40" t="str">
        <f>INDEX(Лист1!$A$2:$E$88,MATCH(B21,Лист1!$B$2:$B$88,0),5)</f>
        <v>Прочие производственные расходы</v>
      </c>
    </row>
    <row r="22" spans="1:4" ht="15.75" thickBot="1" x14ac:dyDescent="0.3">
      <c r="A22" t="s">
        <v>166</v>
      </c>
      <c r="B22" s="42" t="s">
        <v>216</v>
      </c>
      <c r="C22" s="44">
        <v>161320.34</v>
      </c>
      <c r="D22" s="40" t="str">
        <f>INDEX(Лист1!$A$2:$E$88,MATCH(B22,Лист1!$B$2:$B$88,0),5)</f>
        <v>Общехозяйственные расходы</v>
      </c>
    </row>
    <row r="23" spans="1:4" ht="15.75" thickBot="1" x14ac:dyDescent="0.3">
      <c r="A23" t="s">
        <v>166</v>
      </c>
      <c r="B23" s="42" t="s">
        <v>187</v>
      </c>
      <c r="C23" s="44">
        <v>13793152.07</v>
      </c>
      <c r="D23" s="40" t="str">
        <f>INDEX(Лист1!$A$2:$E$88,MATCH(B23,Лист1!$B$2:$B$88,0),5)</f>
        <v xml:space="preserve">Аренда и услуги сторонних предприятий и организаций </v>
      </c>
    </row>
    <row r="24" spans="1:4" ht="15.75" thickBot="1" x14ac:dyDescent="0.3">
      <c r="A24" t="s">
        <v>166</v>
      </c>
      <c r="B24" s="42" t="s">
        <v>188</v>
      </c>
      <c r="C24" s="44">
        <v>2073800.75</v>
      </c>
      <c r="D24" s="40" t="str">
        <f>INDEX(Лист1!$A$2:$E$88,MATCH(B24,Лист1!$B$2:$B$88,0),5)</f>
        <v>Прочие производственные расходы</v>
      </c>
    </row>
    <row r="25" spans="1:4" ht="15.75" thickBot="1" x14ac:dyDescent="0.3">
      <c r="A25" t="s">
        <v>166</v>
      </c>
      <c r="B25" s="42" t="s">
        <v>189</v>
      </c>
      <c r="C25" s="44">
        <v>998394.1</v>
      </c>
      <c r="D25" s="40" t="str">
        <f>INDEX(Лист1!$A$2:$E$88,MATCH(B25,Лист1!$B$2:$B$88,0),5)</f>
        <v>Затраты на ремонт ОПФ</v>
      </c>
    </row>
    <row r="26" spans="1:4" ht="15.75" thickBot="1" x14ac:dyDescent="0.3">
      <c r="A26" t="s">
        <v>166</v>
      </c>
      <c r="B26" s="42" t="s">
        <v>190</v>
      </c>
      <c r="C26" s="44">
        <v>1880463.57</v>
      </c>
      <c r="D26" s="40" t="str">
        <f>INDEX(Лист1!$A$2:$E$88,MATCH(B26,Лист1!$B$2:$B$88,0),5)</f>
        <v>Затраты на ремонт ОПФ</v>
      </c>
    </row>
    <row r="27" spans="1:4" ht="15.75" thickBot="1" x14ac:dyDescent="0.3">
      <c r="A27" t="s">
        <v>166</v>
      </c>
      <c r="B27" s="42" t="s">
        <v>231</v>
      </c>
      <c r="C27" s="44">
        <v>6340.5</v>
      </c>
      <c r="D27" s="40" t="s">
        <v>11</v>
      </c>
    </row>
    <row r="28" spans="1:4" ht="15.75" thickBot="1" x14ac:dyDescent="0.3">
      <c r="A28" t="s">
        <v>166</v>
      </c>
      <c r="B28" s="42" t="s">
        <v>191</v>
      </c>
      <c r="C28" s="44">
        <v>281062.21000000002</v>
      </c>
      <c r="D28" s="40" t="str">
        <f>INDEX(Лист1!$A$2:$E$88,MATCH(B28,Лист1!$B$2:$B$88,0),5)</f>
        <v>Прочие производственные расходы</v>
      </c>
    </row>
    <row r="29" spans="1:4" ht="15.75" thickBot="1" x14ac:dyDescent="0.3">
      <c r="A29" t="s">
        <v>166</v>
      </c>
      <c r="B29" s="42" t="s">
        <v>192</v>
      </c>
      <c r="C29" s="44">
        <v>9853717.1699999999</v>
      </c>
      <c r="D29" s="40" t="str">
        <f>INDEX(Лист1!$A$2:$E$88,MATCH(B29,Лист1!$B$2:$B$88,0),5)</f>
        <v>Содержание и эксплуатация зданий, сооружений и оборудования</v>
      </c>
    </row>
    <row r="30" spans="1:4" ht="15.75" thickBot="1" x14ac:dyDescent="0.3">
      <c r="A30" t="s">
        <v>166</v>
      </c>
      <c r="B30" s="42" t="s">
        <v>193</v>
      </c>
      <c r="C30" s="44">
        <v>690181.83</v>
      </c>
      <c r="D30" s="40" t="str">
        <f>INDEX(Лист1!$A$2:$E$88,MATCH(B30,Лист1!$B$2:$B$88,0),5)</f>
        <v>Прочие производственные расходы</v>
      </c>
    </row>
    <row r="31" spans="1:4" ht="15.75" thickBot="1" x14ac:dyDescent="0.3">
      <c r="A31" t="s">
        <v>166</v>
      </c>
      <c r="B31" s="42" t="s">
        <v>194</v>
      </c>
      <c r="C31" s="44">
        <v>293594.33</v>
      </c>
      <c r="D31" s="40" t="s">
        <v>12</v>
      </c>
    </row>
    <row r="32" spans="1:4" ht="15.75" thickBot="1" x14ac:dyDescent="0.3">
      <c r="A32" t="s">
        <v>166</v>
      </c>
      <c r="B32" s="42" t="s">
        <v>195</v>
      </c>
      <c r="C32" s="44">
        <v>4969250.51</v>
      </c>
      <c r="D32" s="40" t="str">
        <f>INDEX(Лист1!$A$2:$E$88,MATCH(B32,Лист1!$B$2:$B$88,0),5)</f>
        <v>Содержание и эксплуатация зданий, сооружений и оборудования</v>
      </c>
    </row>
    <row r="33" spans="1:4" ht="15.75" thickBot="1" x14ac:dyDescent="0.3">
      <c r="A33" t="s">
        <v>166</v>
      </c>
      <c r="B33" s="42" t="s">
        <v>196</v>
      </c>
      <c r="C33" s="44">
        <v>133881</v>
      </c>
      <c r="D33" s="40" t="str">
        <f>INDEX(Лист1!$A$2:$E$88,MATCH(B33,Лист1!$B$2:$B$88,0),5)</f>
        <v xml:space="preserve">Аренда и услуги сторонних предприятий и организаций </v>
      </c>
    </row>
    <row r="34" spans="1:4" ht="15.75" thickBot="1" x14ac:dyDescent="0.3">
      <c r="A34" t="s">
        <v>166</v>
      </c>
      <c r="B34" s="42" t="s">
        <v>197</v>
      </c>
      <c r="C34" s="44">
        <v>4697821.58</v>
      </c>
      <c r="D34" s="40" t="str">
        <f>INDEX(Лист1!$A$2:$E$88,MATCH(B34,Лист1!$B$2:$B$88,0),5)</f>
        <v>Затраты на ремонт ОПФ</v>
      </c>
    </row>
    <row r="35" spans="1:4" ht="24.75" thickBot="1" x14ac:dyDescent="0.3">
      <c r="A35" t="s">
        <v>166</v>
      </c>
      <c r="B35" s="42" t="s">
        <v>198</v>
      </c>
      <c r="C35" s="44">
        <v>3272244.8</v>
      </c>
      <c r="D35" s="40" t="str">
        <f>INDEX(Лист1!$A$2:$E$88,MATCH(B35,Лист1!$B$2:$B$88,0),5)</f>
        <v>Затраты на ремонт ОПФ</v>
      </c>
    </row>
    <row r="36" spans="1:4" ht="15.75" thickBot="1" x14ac:dyDescent="0.3">
      <c r="A36" t="s">
        <v>166</v>
      </c>
      <c r="B36" s="42" t="s">
        <v>219</v>
      </c>
      <c r="C36" s="44">
        <v>1100</v>
      </c>
      <c r="D36" s="40" t="str">
        <f>INDEX(Лист1!$A$2:$E$88,MATCH(B36,Лист1!$B$2:$B$88,0),5)</f>
        <v>Общехозяйственные расходы</v>
      </c>
    </row>
    <row r="37" spans="1:4" ht="24.75" thickBot="1" x14ac:dyDescent="0.3">
      <c r="A37" t="s">
        <v>166</v>
      </c>
      <c r="B37" s="42" t="s">
        <v>199</v>
      </c>
      <c r="C37" s="44">
        <v>2500063.5499999998</v>
      </c>
      <c r="D37" s="40" t="str">
        <f>INDEX(Лист1!$A$2:$E$88,MATCH(B37,Лист1!$B$2:$B$88,0),5)</f>
        <v>Прочие производственные расходы</v>
      </c>
    </row>
    <row r="38" spans="1:4" ht="15.75" thickBot="1" x14ac:dyDescent="0.3">
      <c r="A38" t="s">
        <v>166</v>
      </c>
      <c r="B38" s="42" t="s">
        <v>200</v>
      </c>
      <c r="C38" s="44">
        <v>5038875.54</v>
      </c>
      <c r="D38" s="40" t="str">
        <f>INDEX(Лист1!$A$2:$E$88,MATCH(B38,Лист1!$B$2:$B$88,0),5)</f>
        <v>Прочие производственные расходы</v>
      </c>
    </row>
    <row r="39" spans="1:4" ht="15.75" thickBot="1" x14ac:dyDescent="0.3">
      <c r="A39" t="s">
        <v>166</v>
      </c>
      <c r="B39" s="42" t="s">
        <v>201</v>
      </c>
      <c r="C39" s="44">
        <v>491455</v>
      </c>
      <c r="D39" s="40" t="str">
        <f>INDEX(Лист1!$A$2:$E$88,MATCH(B39,Лист1!$B$2:$B$88,0),5)</f>
        <v>Прочие производственные расходы</v>
      </c>
    </row>
    <row r="40" spans="1:4" ht="15.75" thickBot="1" x14ac:dyDescent="0.3">
      <c r="A40" t="s">
        <v>166</v>
      </c>
      <c r="B40" s="42" t="s">
        <v>221</v>
      </c>
      <c r="C40" s="44">
        <v>12600</v>
      </c>
      <c r="D40" s="40" t="s">
        <v>8</v>
      </c>
    </row>
    <row r="41" spans="1:4" ht="15.75" thickBot="1" x14ac:dyDescent="0.3">
      <c r="A41" t="s">
        <v>166</v>
      </c>
      <c r="B41" s="42" t="s">
        <v>202</v>
      </c>
      <c r="C41" s="44">
        <v>41376.86</v>
      </c>
      <c r="D41" s="40" t="str">
        <f>INDEX(Лист1!$A$2:$E$88,MATCH(B41,Лист1!$B$2:$B$88,0),5)</f>
        <v>Прочие производственные расходы</v>
      </c>
    </row>
    <row r="42" spans="1:4" ht="15.75" thickBot="1" x14ac:dyDescent="0.3">
      <c r="A42" t="s">
        <v>166</v>
      </c>
      <c r="B42" s="42" t="s">
        <v>203</v>
      </c>
      <c r="C42" s="44">
        <v>123733.74</v>
      </c>
      <c r="D42" s="40" t="str">
        <f>INDEX(Лист1!$A$2:$E$88,MATCH(B42,Лист1!$B$2:$B$88,0),5)</f>
        <v>Затраты на ремонт ОПФ</v>
      </c>
    </row>
    <row r="43" spans="1:4" ht="15.75" thickBot="1" x14ac:dyDescent="0.3">
      <c r="A43" t="s">
        <v>166</v>
      </c>
      <c r="B43" s="42" t="s">
        <v>204</v>
      </c>
      <c r="C43" s="44">
        <v>145941.51999999999</v>
      </c>
      <c r="D43" s="40" t="str">
        <f>INDEX(Лист1!$A$2:$E$88,MATCH(B43,Лист1!$B$2:$B$88,0),5)</f>
        <v>Прочие производственные расходы</v>
      </c>
    </row>
    <row r="44" spans="1:4" ht="15.75" thickBot="1" x14ac:dyDescent="0.3">
      <c r="A44" t="s">
        <v>166</v>
      </c>
      <c r="B44" s="42" t="s">
        <v>205</v>
      </c>
      <c r="C44" s="44">
        <v>233469.82</v>
      </c>
      <c r="D44" s="40" t="str">
        <f>INDEX(Лист1!$A$2:$E$88,MATCH(B44,Лист1!$B$2:$B$88,0),5)</f>
        <v>Прочие производственные расходы</v>
      </c>
    </row>
    <row r="45" spans="1:4" ht="15.75" thickBot="1" x14ac:dyDescent="0.3">
      <c r="A45" t="s">
        <v>166</v>
      </c>
      <c r="B45" s="42" t="s">
        <v>206</v>
      </c>
      <c r="C45" s="44">
        <v>15495.36</v>
      </c>
      <c r="D45" s="40" t="str">
        <f>INDEX(Лист1!$A$2:$E$88,MATCH(B45,Лист1!$B$2:$B$88,0),5)</f>
        <v>Прочие производственные расходы</v>
      </c>
    </row>
    <row r="46" spans="1:4" ht="15.75" thickBot="1" x14ac:dyDescent="0.3">
      <c r="A46" t="s">
        <v>166</v>
      </c>
      <c r="B46" s="42" t="s">
        <v>207</v>
      </c>
      <c r="C46" s="44">
        <v>54299101.369999997</v>
      </c>
      <c r="D46" s="40">
        <f>INDEX(Лист1!$A$2:$E$88,MATCH(B46,Лист1!$B$2:$B$88,0),5)</f>
        <v>0</v>
      </c>
    </row>
    <row r="47" spans="1:4" ht="15.75" thickBot="1" x14ac:dyDescent="0.3">
      <c r="A47" t="s">
        <v>166</v>
      </c>
      <c r="B47" s="42" t="s">
        <v>208</v>
      </c>
      <c r="C47" s="44">
        <v>7529530.6600000001</v>
      </c>
      <c r="D47" s="40" t="str">
        <f>INDEX(Лист1!$A$2:$E$88,MATCH(B47,Лист1!$B$2:$B$88,0),5)</f>
        <v xml:space="preserve">Аренда и услуги сторонних предприятий и организаций </v>
      </c>
    </row>
    <row r="48" spans="1:4" ht="15.75" thickBot="1" x14ac:dyDescent="0.3">
      <c r="A48" t="s">
        <v>166</v>
      </c>
      <c r="B48" s="42" t="s">
        <v>226</v>
      </c>
      <c r="C48" s="44">
        <v>2952.85</v>
      </c>
      <c r="D48" s="40" t="str">
        <f>INDEX(Лист1!$A$2:$E$88,MATCH(B48,Лист1!$B$2:$B$88,0),5)</f>
        <v xml:space="preserve">Аренда и услуги сторонних предприятий и организаций </v>
      </c>
    </row>
    <row r="49" spans="1:4" ht="15.75" thickBot="1" x14ac:dyDescent="0.3">
      <c r="A49" t="s">
        <v>209</v>
      </c>
      <c r="B49" s="42" t="s">
        <v>168</v>
      </c>
      <c r="C49" s="44">
        <v>3289.86</v>
      </c>
      <c r="D49" s="40">
        <f>INDEX(Лист1!$A$2:$E$88,MATCH(B49,Лист1!$B$2:$B$88,0),5)</f>
        <v>0</v>
      </c>
    </row>
    <row r="50" spans="1:4" ht="15.75" thickBot="1" x14ac:dyDescent="0.3">
      <c r="A50" t="s">
        <v>209</v>
      </c>
      <c r="B50" s="42" t="s">
        <v>169</v>
      </c>
      <c r="C50" s="44">
        <v>606870.96</v>
      </c>
      <c r="D50" s="40">
        <f>INDEX(Лист1!$A$2:$E$88,MATCH(B50,Лист1!$B$2:$B$88,0),5)</f>
        <v>0</v>
      </c>
    </row>
    <row r="51" spans="1:4" ht="15.75" thickBot="1" x14ac:dyDescent="0.3">
      <c r="A51" t="s">
        <v>209</v>
      </c>
      <c r="B51" s="42" t="s">
        <v>170</v>
      </c>
      <c r="C51" s="44">
        <v>20501</v>
      </c>
      <c r="D51" s="40" t="str">
        <f>INDEX(Лист1!$A$2:$E$88,MATCH(B51,Лист1!$B$2:$B$88,0),5)</f>
        <v>Прочие производственные расходы</v>
      </c>
    </row>
    <row r="52" spans="1:4" ht="15.75" thickBot="1" x14ac:dyDescent="0.3">
      <c r="A52" t="s">
        <v>209</v>
      </c>
      <c r="B52" s="42" t="s">
        <v>210</v>
      </c>
      <c r="C52" s="44">
        <v>150500</v>
      </c>
      <c r="D52" s="40" t="str">
        <f>INDEX(Лист1!$A$2:$E$88,MATCH(B52,Лист1!$B$2:$B$88,0),5)</f>
        <v>Общехозяйственные расходы</v>
      </c>
    </row>
    <row r="53" spans="1:4" ht="15.75" thickBot="1" x14ac:dyDescent="0.3">
      <c r="A53" t="s">
        <v>209</v>
      </c>
      <c r="B53" s="42" t="s">
        <v>172</v>
      </c>
      <c r="C53" s="44">
        <v>10763.54</v>
      </c>
      <c r="D53" s="40" t="str">
        <f>INDEX(Лист1!$A$2:$E$88,MATCH(B53,Лист1!$B$2:$B$88,0),5)</f>
        <v>Содержание и эксплуатация зданий, сооружений и оборудования</v>
      </c>
    </row>
    <row r="54" spans="1:4" ht="15.75" thickBot="1" x14ac:dyDescent="0.3">
      <c r="A54" t="s">
        <v>209</v>
      </c>
      <c r="B54" s="42" t="s">
        <v>230</v>
      </c>
      <c r="C54" s="44">
        <v>51147.54</v>
      </c>
      <c r="D54" s="40" t="e">
        <f>INDEX(Лист1!$A$2:$E$88,MATCH(B54,Лист1!$B$2:$B$88,0),5)</f>
        <v>#N/A</v>
      </c>
    </row>
    <row r="55" spans="1:4" ht="15.75" thickBot="1" x14ac:dyDescent="0.3">
      <c r="A55" t="s">
        <v>209</v>
      </c>
      <c r="B55" s="42" t="s">
        <v>173</v>
      </c>
      <c r="C55" s="44">
        <v>1398615.71</v>
      </c>
      <c r="D55" s="40">
        <f>INDEX(Лист1!$A$2:$E$88,MATCH(B55,Лист1!$B$2:$B$88,0),5)</f>
        <v>0</v>
      </c>
    </row>
    <row r="56" spans="1:4" ht="15.75" thickBot="1" x14ac:dyDescent="0.3">
      <c r="A56" t="s">
        <v>209</v>
      </c>
      <c r="B56" s="42" t="s">
        <v>229</v>
      </c>
      <c r="C56" s="44">
        <v>1965</v>
      </c>
      <c r="D56" s="40" t="s">
        <v>12</v>
      </c>
    </row>
    <row r="57" spans="1:4" ht="15.75" thickBot="1" x14ac:dyDescent="0.3">
      <c r="A57" t="s">
        <v>209</v>
      </c>
      <c r="B57" s="42" t="s">
        <v>212</v>
      </c>
      <c r="C57" s="44">
        <v>197228.19</v>
      </c>
      <c r="D57" s="40" t="str">
        <f>INDEX(Лист1!$A$2:$E$88,MATCH(B57,Лист1!$B$2:$B$88,0),5)</f>
        <v xml:space="preserve">Аренда и услуги сторонних предприятий и организаций </v>
      </c>
    </row>
    <row r="58" spans="1:4" ht="15.75" thickBot="1" x14ac:dyDescent="0.3">
      <c r="A58" t="s">
        <v>209</v>
      </c>
      <c r="B58" s="42" t="s">
        <v>213</v>
      </c>
      <c r="C58" s="44">
        <v>430369.88</v>
      </c>
      <c r="D58" s="40" t="str">
        <f>INDEX(Лист1!$A$2:$E$88,MATCH(B58,Лист1!$B$2:$B$88,0),5)</f>
        <v>Общехозяйственные расходы</v>
      </c>
    </row>
    <row r="59" spans="1:4" ht="15.75" thickBot="1" x14ac:dyDescent="0.3">
      <c r="A59" t="s">
        <v>209</v>
      </c>
      <c r="B59" s="42" t="s">
        <v>215</v>
      </c>
      <c r="C59" s="44">
        <v>266424.25</v>
      </c>
      <c r="D59" s="40" t="str">
        <f>INDEX(Лист1!$A$2:$E$88,MATCH(B59,Лист1!$B$2:$B$88,0),5)</f>
        <v>Общехозяйственные расходы</v>
      </c>
    </row>
    <row r="60" spans="1:4" ht="15.75" thickBot="1" x14ac:dyDescent="0.3">
      <c r="A60" t="s">
        <v>209</v>
      </c>
      <c r="B60" s="42" t="s">
        <v>180</v>
      </c>
      <c r="C60" s="44">
        <v>503269.12</v>
      </c>
      <c r="D60" s="40" t="str">
        <f>INDEX(Лист1!$A$2:$E$88,MATCH(B60,Лист1!$B$2:$B$88,0),5)</f>
        <v>Содержание и эксплуатация зданий, сооружений и оборудования</v>
      </c>
    </row>
    <row r="61" spans="1:4" ht="15.75" thickBot="1" x14ac:dyDescent="0.3">
      <c r="A61" t="s">
        <v>209</v>
      </c>
      <c r="B61" s="42" t="s">
        <v>182</v>
      </c>
      <c r="C61" s="44">
        <v>80522862.890000001</v>
      </c>
      <c r="D61" s="40">
        <f>INDEX(Лист1!$A$2:$E$88,MATCH(B61,Лист1!$B$2:$B$88,0),5)</f>
        <v>0</v>
      </c>
    </row>
    <row r="62" spans="1:4" ht="15.75" thickBot="1" x14ac:dyDescent="0.3">
      <c r="A62" t="s">
        <v>209</v>
      </c>
      <c r="B62" s="42" t="s">
        <v>184</v>
      </c>
      <c r="C62" s="44">
        <v>133375.5</v>
      </c>
      <c r="D62" s="40" t="str">
        <f>INDEX(Лист1!$A$2:$E$88,MATCH(B62,Лист1!$B$2:$B$88,0),5)</f>
        <v>Прочие производственные расходы</v>
      </c>
    </row>
    <row r="63" spans="1:4" ht="15.75" thickBot="1" x14ac:dyDescent="0.3">
      <c r="A63" t="s">
        <v>209</v>
      </c>
      <c r="B63" s="42" t="s">
        <v>216</v>
      </c>
      <c r="C63" s="44">
        <v>62226.33</v>
      </c>
      <c r="D63" s="40" t="str">
        <f>INDEX(Лист1!$A$2:$E$88,MATCH(B63,Лист1!$B$2:$B$88,0),5)</f>
        <v>Общехозяйственные расходы</v>
      </c>
    </row>
    <row r="64" spans="1:4" ht="15.75" thickBot="1" x14ac:dyDescent="0.3">
      <c r="A64" t="s">
        <v>209</v>
      </c>
      <c r="B64" s="42" t="s">
        <v>185</v>
      </c>
      <c r="C64" s="44">
        <v>97000</v>
      </c>
      <c r="D64" s="40" t="str">
        <f>INDEX(Лист1!$A$2:$E$88,MATCH(B64,Лист1!$B$2:$B$88,0),5)</f>
        <v>Содержание и эксплуатация зданий, сооружений и оборудования</v>
      </c>
    </row>
    <row r="65" spans="1:4" ht="15.75" thickBot="1" x14ac:dyDescent="0.3">
      <c r="A65" t="s">
        <v>209</v>
      </c>
      <c r="B65" s="42" t="s">
        <v>186</v>
      </c>
      <c r="C65" s="44">
        <v>106844.59</v>
      </c>
      <c r="D65" s="40" t="str">
        <f>INDEX(Лист1!$A$2:$E$88,MATCH(B65,Лист1!$B$2:$B$88,0),5)</f>
        <v xml:space="preserve">Аренда и услуги сторонних предприятий и организаций </v>
      </c>
    </row>
    <row r="66" spans="1:4" ht="15.75" thickBot="1" x14ac:dyDescent="0.3">
      <c r="A66" t="s">
        <v>209</v>
      </c>
      <c r="B66" s="42" t="s">
        <v>217</v>
      </c>
      <c r="C66" s="44">
        <v>1791251.19</v>
      </c>
      <c r="D66" s="40" t="str">
        <f>INDEX(Лист1!$A$2:$E$88,MATCH(B66,Лист1!$B$2:$B$88,0),5)</f>
        <v>Общехозяйственные расходы</v>
      </c>
    </row>
    <row r="67" spans="1:4" ht="15.75" thickBot="1" x14ac:dyDescent="0.3">
      <c r="A67" t="s">
        <v>209</v>
      </c>
      <c r="B67" s="42" t="s">
        <v>187</v>
      </c>
      <c r="C67" s="44">
        <v>279974.69</v>
      </c>
      <c r="D67" s="40" t="str">
        <f>INDEX(Лист1!$A$2:$E$88,MATCH(B67,Лист1!$B$2:$B$88,0),5)</f>
        <v xml:space="preserve">Аренда и услуги сторонних предприятий и организаций </v>
      </c>
    </row>
    <row r="68" spans="1:4" ht="15.75" thickBot="1" x14ac:dyDescent="0.3">
      <c r="A68" t="s">
        <v>209</v>
      </c>
      <c r="B68" s="42" t="s">
        <v>188</v>
      </c>
      <c r="C68" s="44">
        <v>1174650.2</v>
      </c>
      <c r="D68" s="40" t="str">
        <f>INDEX(Лист1!$A$2:$E$88,MATCH(B68,Лист1!$B$2:$B$88,0),5)</f>
        <v>Прочие производственные расходы</v>
      </c>
    </row>
    <row r="69" spans="1:4" ht="15.75" thickBot="1" x14ac:dyDescent="0.3">
      <c r="A69" t="s">
        <v>209</v>
      </c>
      <c r="B69" s="42" t="s">
        <v>190</v>
      </c>
      <c r="C69" s="44">
        <v>106500</v>
      </c>
      <c r="D69" s="40" t="str">
        <f>INDEX(Лист1!$A$2:$E$88,MATCH(B69,Лист1!$B$2:$B$88,0),5)</f>
        <v>Затраты на ремонт ОПФ</v>
      </c>
    </row>
    <row r="70" spans="1:4" ht="15.75" thickBot="1" x14ac:dyDescent="0.3">
      <c r="A70" t="s">
        <v>209</v>
      </c>
      <c r="B70" s="42" t="s">
        <v>191</v>
      </c>
      <c r="C70" s="44">
        <v>6093.86</v>
      </c>
      <c r="D70" s="40" t="str">
        <f>INDEX(Лист1!$A$2:$E$88,MATCH(B70,Лист1!$B$2:$B$88,0),5)</f>
        <v>Прочие производственные расходы</v>
      </c>
    </row>
    <row r="71" spans="1:4" ht="15.75" thickBot="1" x14ac:dyDescent="0.3">
      <c r="A71" t="s">
        <v>209</v>
      </c>
      <c r="B71" s="42" t="s">
        <v>192</v>
      </c>
      <c r="C71" s="44">
        <v>1754700.14</v>
      </c>
      <c r="D71" s="40" t="str">
        <f>INDEX(Лист1!$A$2:$E$88,MATCH(B71,Лист1!$B$2:$B$88,0),5)</f>
        <v>Содержание и эксплуатация зданий, сооружений и оборудования</v>
      </c>
    </row>
    <row r="72" spans="1:4" ht="15.75" thickBot="1" x14ac:dyDescent="0.3">
      <c r="A72" t="s">
        <v>209</v>
      </c>
      <c r="B72" s="42" t="s">
        <v>193</v>
      </c>
      <c r="C72" s="44">
        <v>2575</v>
      </c>
      <c r="D72" s="40" t="str">
        <f>INDEX(Лист1!$A$2:$E$88,MATCH(B72,Лист1!$B$2:$B$88,0),5)</f>
        <v>Прочие производственные расходы</v>
      </c>
    </row>
    <row r="73" spans="1:4" ht="15.75" thickBot="1" x14ac:dyDescent="0.3">
      <c r="A73" t="s">
        <v>209</v>
      </c>
      <c r="B73" s="42" t="s">
        <v>218</v>
      </c>
      <c r="C73" s="44">
        <v>6145157.04</v>
      </c>
      <c r="D73" s="40" t="str">
        <f>INDEX(Лист1!$A$2:$E$88,MATCH(B73,Лист1!$B$2:$B$88,0),5)</f>
        <v>Содержание и эксплуатация зданий, сооружений и оборудования</v>
      </c>
    </row>
    <row r="74" spans="1:4" ht="15.75" thickBot="1" x14ac:dyDescent="0.3">
      <c r="A74" t="s">
        <v>209</v>
      </c>
      <c r="B74" s="42" t="s">
        <v>194</v>
      </c>
      <c r="C74" s="44">
        <v>2377160.6</v>
      </c>
      <c r="D74" s="40" t="s">
        <v>12</v>
      </c>
    </row>
    <row r="75" spans="1:4" ht="15.75" thickBot="1" x14ac:dyDescent="0.3">
      <c r="A75" t="s">
        <v>209</v>
      </c>
      <c r="B75" s="42" t="s">
        <v>195</v>
      </c>
      <c r="C75" s="44">
        <v>5306202.0999999996</v>
      </c>
      <c r="D75" s="40" t="str">
        <f>INDEX(Лист1!$A$2:$E$88,MATCH(B75,Лист1!$B$2:$B$88,0),5)</f>
        <v>Содержание и эксплуатация зданий, сооружений и оборудования</v>
      </c>
    </row>
    <row r="76" spans="1:4" ht="15.75" thickBot="1" x14ac:dyDescent="0.3">
      <c r="A76" t="s">
        <v>209</v>
      </c>
      <c r="B76" s="42" t="s">
        <v>197</v>
      </c>
      <c r="C76" s="44">
        <v>3918302.94</v>
      </c>
      <c r="D76" s="40" t="str">
        <f>INDEX(Лист1!$A$2:$E$88,MATCH(B76,Лист1!$B$2:$B$88,0),5)</f>
        <v>Затраты на ремонт ОПФ</v>
      </c>
    </row>
    <row r="77" spans="1:4" ht="24.75" thickBot="1" x14ac:dyDescent="0.3">
      <c r="A77" t="s">
        <v>209</v>
      </c>
      <c r="B77" s="42" t="s">
        <v>198</v>
      </c>
      <c r="C77" s="44">
        <v>542083.93999999994</v>
      </c>
      <c r="D77" s="40" t="str">
        <f>INDEX(Лист1!$A$2:$E$88,MATCH(B77,Лист1!$B$2:$B$88,0),5)</f>
        <v>Затраты на ремонт ОПФ</v>
      </c>
    </row>
    <row r="78" spans="1:4" ht="15.75" thickBot="1" x14ac:dyDescent="0.3">
      <c r="A78" t="s">
        <v>209</v>
      </c>
      <c r="B78" s="42" t="s">
        <v>219</v>
      </c>
      <c r="C78" s="44">
        <v>286894.93</v>
      </c>
      <c r="D78" s="40" t="str">
        <f>INDEX(Лист1!$A$2:$E$88,MATCH(B78,Лист1!$B$2:$B$88,0),5)</f>
        <v>Общехозяйственные расходы</v>
      </c>
    </row>
    <row r="79" spans="1:4" ht="24.75" thickBot="1" x14ac:dyDescent="0.3">
      <c r="A79" t="s">
        <v>209</v>
      </c>
      <c r="B79" s="42" t="s">
        <v>199</v>
      </c>
      <c r="C79" s="44">
        <v>1174541.98</v>
      </c>
      <c r="D79" s="40" t="str">
        <f>INDEX(Лист1!$A$2:$E$88,MATCH(B79,Лист1!$B$2:$B$88,0),5)</f>
        <v>Прочие производственные расходы</v>
      </c>
    </row>
    <row r="80" spans="1:4" ht="24.75" thickBot="1" x14ac:dyDescent="0.3">
      <c r="A80" t="s">
        <v>209</v>
      </c>
      <c r="B80" s="42" t="s">
        <v>220</v>
      </c>
      <c r="C80" s="44">
        <v>15526502.140000001</v>
      </c>
      <c r="D80" s="40" t="str">
        <f>INDEX(Лист1!$A$2:$E$88,MATCH(B80,Лист1!$B$2:$B$88,0),5)</f>
        <v>Общехозяйственные расходы</v>
      </c>
    </row>
    <row r="81" spans="1:4" ht="15.75" thickBot="1" x14ac:dyDescent="0.3">
      <c r="A81" t="s">
        <v>209</v>
      </c>
      <c r="B81" s="42" t="s">
        <v>200</v>
      </c>
      <c r="C81" s="44">
        <v>6813871.2599999998</v>
      </c>
      <c r="D81" s="40" t="str">
        <f>INDEX(Лист1!$A$2:$E$88,MATCH(B81,Лист1!$B$2:$B$88,0),5)</f>
        <v>Прочие производственные расходы</v>
      </c>
    </row>
    <row r="82" spans="1:4" ht="15.75" thickBot="1" x14ac:dyDescent="0.3">
      <c r="A82" t="s">
        <v>209</v>
      </c>
      <c r="B82" s="42" t="s">
        <v>201</v>
      </c>
      <c r="C82" s="44">
        <v>676000</v>
      </c>
      <c r="D82" s="40" t="str">
        <f>INDEX(Лист1!$A$2:$E$88,MATCH(B82,Лист1!$B$2:$B$88,0),5)</f>
        <v>Прочие производственные расходы</v>
      </c>
    </row>
    <row r="83" spans="1:4" ht="15.75" thickBot="1" x14ac:dyDescent="0.3">
      <c r="A83" t="s">
        <v>209</v>
      </c>
      <c r="B83" s="42" t="s">
        <v>221</v>
      </c>
      <c r="C83" s="44">
        <v>1157480.54</v>
      </c>
      <c r="D83" s="40" t="s">
        <v>8</v>
      </c>
    </row>
    <row r="84" spans="1:4" ht="15.75" thickBot="1" x14ac:dyDescent="0.3">
      <c r="A84" t="s">
        <v>209</v>
      </c>
      <c r="B84" s="42" t="s">
        <v>222</v>
      </c>
      <c r="C84" s="44">
        <v>410329</v>
      </c>
      <c r="D84" s="40" t="str">
        <f>INDEX(Лист1!$A$2:$E$88,MATCH(B84,Лист1!$B$2:$B$88,0),5)</f>
        <v>Общехозяйственные расходы</v>
      </c>
    </row>
    <row r="85" spans="1:4" ht="15.75" thickBot="1" x14ac:dyDescent="0.3">
      <c r="A85" t="s">
        <v>209</v>
      </c>
      <c r="B85" s="42" t="s">
        <v>203</v>
      </c>
      <c r="C85" s="44">
        <v>1735563.28</v>
      </c>
      <c r="D85" s="40" t="str">
        <f>INDEX(Лист1!$A$2:$E$88,MATCH(B85,Лист1!$B$2:$B$88,0),5)</f>
        <v>Затраты на ремонт ОПФ</v>
      </c>
    </row>
    <row r="86" spans="1:4" ht="15.75" thickBot="1" x14ac:dyDescent="0.3">
      <c r="A86" t="s">
        <v>209</v>
      </c>
      <c r="B86" s="42" t="s">
        <v>204</v>
      </c>
      <c r="C86" s="44">
        <v>1409851.12</v>
      </c>
      <c r="D86" s="40" t="str">
        <f>INDEX(Лист1!$A$2:$E$88,MATCH(B86,Лист1!$B$2:$B$88,0),5)</f>
        <v>Прочие производственные расходы</v>
      </c>
    </row>
    <row r="87" spans="1:4" ht="15.75" thickBot="1" x14ac:dyDescent="0.3">
      <c r="A87" t="s">
        <v>209</v>
      </c>
      <c r="B87" s="42" t="s">
        <v>205</v>
      </c>
      <c r="C87" s="44">
        <v>92301.87</v>
      </c>
      <c r="D87" s="40" t="str">
        <f>INDEX(Лист1!$A$2:$E$88,MATCH(B87,Лист1!$B$2:$B$88,0),5)</f>
        <v>Прочие производственные расходы</v>
      </c>
    </row>
    <row r="88" spans="1:4" ht="15.75" thickBot="1" x14ac:dyDescent="0.3">
      <c r="A88" t="s">
        <v>209</v>
      </c>
      <c r="B88" s="42" t="s">
        <v>207</v>
      </c>
      <c r="C88" s="44">
        <v>19685434.579999998</v>
      </c>
      <c r="D88" s="40">
        <f>INDEX(Лист1!$A$2:$E$88,MATCH(B88,Лист1!$B$2:$B$88,0),5)</f>
        <v>0</v>
      </c>
    </row>
    <row r="89" spans="1:4" ht="15.75" thickBot="1" x14ac:dyDescent="0.3">
      <c r="A89" t="s">
        <v>209</v>
      </c>
      <c r="B89" s="42" t="s">
        <v>223</v>
      </c>
      <c r="C89" s="44">
        <v>1899475</v>
      </c>
      <c r="D89" s="40" t="str">
        <f>INDEX(Лист1!$A$2:$E$88,MATCH(B89,Лист1!$B$2:$B$88,0),5)</f>
        <v>Общехозяйственные расходы</v>
      </c>
    </row>
    <row r="90" spans="1:4" ht="15.75" thickBot="1" x14ac:dyDescent="0.3">
      <c r="A90" t="s">
        <v>209</v>
      </c>
      <c r="B90" s="42" t="s">
        <v>224</v>
      </c>
      <c r="C90" s="44">
        <v>8011.1</v>
      </c>
      <c r="D90" s="40" t="str">
        <f>INDEX(Лист1!$A$2:$E$88,MATCH(B90,Лист1!$B$2:$B$88,0),5)</f>
        <v>Общехозяйственные расходы</v>
      </c>
    </row>
    <row r="91" spans="1:4" ht="15.75" thickBot="1" x14ac:dyDescent="0.3">
      <c r="A91" t="s">
        <v>209</v>
      </c>
      <c r="B91" s="42" t="s">
        <v>225</v>
      </c>
      <c r="C91" s="44">
        <v>350735</v>
      </c>
      <c r="D91" s="40" t="str">
        <f>INDEX(Лист1!$A$2:$E$88,MATCH(B91,Лист1!$B$2:$B$88,0),5)</f>
        <v>Общехозяйственные расходы</v>
      </c>
    </row>
    <row r="92" spans="1:4" ht="15.75" thickBot="1" x14ac:dyDescent="0.3">
      <c r="A92" t="s">
        <v>209</v>
      </c>
      <c r="B92" s="42" t="s">
        <v>208</v>
      </c>
      <c r="C92" s="44">
        <v>1379427.14</v>
      </c>
      <c r="D92" s="40" t="str">
        <f>INDEX(Лист1!$A$2:$E$88,MATCH(B92,Лист1!$B$2:$B$88,0),5)</f>
        <v xml:space="preserve">Аренда и услуги сторонних предприятий и организаций </v>
      </c>
    </row>
  </sheetData>
  <autoFilter ref="A4:D9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2024,в %</vt:lpstr>
      <vt:lpstr>свод</vt:lpstr>
      <vt:lpstr>Лист1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User1</cp:lastModifiedBy>
  <cp:lastPrinted>2024-08-29T01:42:09Z</cp:lastPrinted>
  <dcterms:created xsi:type="dcterms:W3CDTF">2015-04-24T07:27:01Z</dcterms:created>
  <dcterms:modified xsi:type="dcterms:W3CDTF">2025-04-15T06:19:06Z</dcterms:modified>
</cp:coreProperties>
</file>